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46.xml" ContentType="application/vnd.openxmlformats-officedocument.spreadsheetml.table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04. Processos Gestão\01. Regulatório\05. Obrigações\04. CPP\01. NPF\CPP 2025\03. Memória de Cálculo\"/>
    </mc:Choice>
  </mc:AlternateContent>
  <xr:revisionPtr revIDLastSave="0" documentId="13_ncr:1_{D511C2F5-BB97-4AB9-92B4-9AB22286285A}" xr6:coauthVersionLast="47" xr6:coauthVersionMax="47" xr10:uidLastSave="{00000000-0000-0000-0000-000000000000}"/>
  <workbookProtection workbookAlgorithmName="SHA-512" workbookHashValue="c4DsM5IX8HC+y42EEbjJtc1hB2ZNqLRkJuOx1B6JdJgtQFBMyHxiPYClXR0F+YiEx2TWjOEV5kSUnvWQ4QAcmQ==" workbookSaltValue="dbSxQZWC1j3BTh5a+aY1QQ==" workbookSpinCount="100000" lockStructure="1"/>
  <bookViews>
    <workbookView xWindow="-120" yWindow="-120" windowWidth="29040" windowHeight="16440" tabRatio="862" firstSheet="16" activeTab="30" xr2:uid="{00000000-000D-0000-FFFF-FFFF00000000}"/>
  </bookViews>
  <sheets>
    <sheet name="CPFL" sheetId="4" state="hidden" r:id="rId1"/>
    <sheet name="Ajuda" sheetId="23" r:id="rId2"/>
    <sheet name="Utilização IP" sheetId="57" state="hidden" r:id="rId3"/>
    <sheet name="Tarifas" sheetId="26" state="hidden" r:id="rId4"/>
    <sheet name="Cidades Concessão" sheetId="36" state="hidden" r:id="rId5"/>
    <sheet name="Res Nº5.290" sheetId="46" state="hidden" r:id="rId6"/>
    <sheet name="Escolha tarifa" sheetId="27" r:id="rId7"/>
    <sheet name="UCs" sheetId="52" r:id="rId8"/>
    <sheet name="Projeto" sheetId="29" r:id="rId9"/>
    <sheet name="RCB" sheetId="2" r:id="rId10"/>
    <sheet name="CustoContabil" sheetId="3" r:id="rId11"/>
    <sheet name="ContrDesemp" sheetId="43" r:id="rId12"/>
    <sheet name="M&amp;V" sheetId="21" r:id="rId13"/>
    <sheet name="Descarte" sheetId="22" r:id="rId14"/>
    <sheet name="IlumCusto" sheetId="5" r:id="rId15"/>
    <sheet name="IlumBenef" sheetId="6" r:id="rId16"/>
    <sheet name="FI-FVCusto" sheetId="16" r:id="rId17"/>
    <sheet name="FI-FVBenef" sheetId="17" r:id="rId18"/>
    <sheet name="MotorCusto" sheetId="10" r:id="rId19"/>
    <sheet name="MotorBenef" sheetId="11" r:id="rId20"/>
    <sheet name="SolarCusto" sheetId="14" r:id="rId21"/>
    <sheet name="SolarBenef" sheetId="15" r:id="rId22"/>
    <sheet name="CondAmbCusto" sheetId="7" r:id="rId23"/>
    <sheet name="CondAmbBenef" sheetId="8" r:id="rId24"/>
    <sheet name="RefrigCusto" sheetId="41" r:id="rId25"/>
    <sheet name="RefrigBenef" sheetId="13" r:id="rId26"/>
    <sheet name="OutrosCusto" sheetId="42" r:id="rId27"/>
    <sheet name="OutrosBenef" sheetId="19" r:id="rId28"/>
    <sheet name="Referencias UC" sheetId="53" state="hidden" r:id="rId29"/>
    <sheet name="Referências" sheetId="47" state="hidden" r:id="rId30"/>
    <sheet name="BessCusto" sheetId="56" r:id="rId31"/>
    <sheet name="BESSBenef" sheetId="55" r:id="rId32"/>
    <sheet name="Cronogramas Fisicos" sheetId="48" state="hidden" r:id="rId33"/>
    <sheet name="Cronograma Financeiro" sheetId="31" state="hidden" r:id="rId34"/>
    <sheet name="Tabelas Contratos" sheetId="39" state="hidden" r:id="rId35"/>
  </sheets>
  <externalReferences>
    <externalReference r:id="rId36"/>
  </externalReferences>
  <definedNames>
    <definedName name="_xlnm._FilterDatabase" localSheetId="4" hidden="1">'Cidades Concessão'!$J$1:$O$646</definedName>
    <definedName name="_xlnm._FilterDatabase" localSheetId="3" hidden="1">Tarifas!$B$3:$O$21</definedName>
    <definedName name="COPEL" localSheetId="11">#REF!</definedName>
    <definedName name="COPEL" localSheetId="7">#REF!</definedName>
    <definedName name="COPEL">#REF!</definedName>
    <definedName name="Lista_Atividade">CPFL!$U$4:$U$6</definedName>
    <definedName name="Lista_Empresa">CPFL!$AA$4:$AA$7</definedName>
    <definedName name="Lista_Localizacao" localSheetId="7">CPFL!#REF!</definedName>
    <definedName name="Lista_Localizacao">CPFL!#REF!</definedName>
    <definedName name="Lista_Solar" localSheetId="30">[1]CPFL!$BD$4:$BD$29</definedName>
    <definedName name="Lista_Solar" localSheetId="11">[1]CPFL!$BD$4:$BD$29</definedName>
    <definedName name="Lista_Solar" localSheetId="26">[1]CPFL!$BD$4:$BD$29</definedName>
    <definedName name="Lista_Solar" localSheetId="24">[1]CPFL!$BD$4:$BD$29</definedName>
    <definedName name="Lista_Solar">CPFL!$BB$4:$BB$29</definedName>
    <definedName name="Lista_SubgrupoTarifa" localSheetId="30">[1]CPFL!#REF!</definedName>
    <definedName name="Lista_SubgrupoTarifa" localSheetId="11">[1]CPFL!#REF!</definedName>
    <definedName name="Lista_SubgrupoTarifa" localSheetId="26">[1]CPFL!#REF!</definedName>
    <definedName name="Lista_SubgrupoTarifa" localSheetId="24">[1]CPFL!#REF!</definedName>
    <definedName name="Lista_SubgrupoTarifa" localSheetId="7">CPFL!#REF!</definedName>
    <definedName name="Lista_SubgrupoTarifa">CPFL!#REF!</definedName>
    <definedName name="Lista_Tarifa" localSheetId="30">[1]CPFL!$AI$4:$AI$8</definedName>
    <definedName name="Lista_Tarifa" localSheetId="11">[1]CPFL!$AI$4:$AI$8</definedName>
    <definedName name="Lista_Tarifa" localSheetId="26">[1]CPFL!$AI$4:$AI$8</definedName>
    <definedName name="Lista_Tarifa" localSheetId="24">[1]CPFL!$AI$4:$AI$8</definedName>
    <definedName name="Lista_Tarifa">CPFL!$AG$4:$AG$8</definedName>
    <definedName name="Lista_Tipologia">CPFL!$I$4:$I$11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56" l="1"/>
  <c r="N45" i="56"/>
  <c r="N46" i="56"/>
  <c r="I27" i="55"/>
  <c r="J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Y27" i="55"/>
  <c r="Z27" i="55"/>
  <c r="AA27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G18" i="3"/>
  <c r="F18" i="3"/>
  <c r="G8" i="3"/>
  <c r="F8" i="3"/>
  <c r="G6" i="3"/>
  <c r="F6" i="3"/>
  <c r="E18" i="3"/>
  <c r="E16" i="3"/>
  <c r="Q8" i="56"/>
  <c r="CV45" i="52"/>
  <c r="CV44" i="52"/>
  <c r="CV43" i="52"/>
  <c r="CV42" i="52"/>
  <c r="CV41" i="52"/>
  <c r="CQ45" i="52"/>
  <c r="CQ44" i="52"/>
  <c r="CQ43" i="52"/>
  <c r="CQ42" i="52"/>
  <c r="CQ41" i="52"/>
  <c r="CL45" i="52"/>
  <c r="CL44" i="52"/>
  <c r="CL43" i="52"/>
  <c r="CL42" i="52"/>
  <c r="CL41" i="52"/>
  <c r="CG45" i="52"/>
  <c r="CG44" i="52"/>
  <c r="CG43" i="52"/>
  <c r="CG42" i="52"/>
  <c r="CG41" i="52"/>
  <c r="CB45" i="52"/>
  <c r="CB44" i="52"/>
  <c r="CB43" i="52"/>
  <c r="CB42" i="52"/>
  <c r="CB41" i="52"/>
  <c r="BW45" i="52"/>
  <c r="BW44" i="52"/>
  <c r="BW43" i="52"/>
  <c r="BW42" i="52"/>
  <c r="BW41" i="52"/>
  <c r="BR45" i="52"/>
  <c r="BR44" i="52"/>
  <c r="BR43" i="52"/>
  <c r="BR42" i="52"/>
  <c r="BR41" i="52"/>
  <c r="BM45" i="52"/>
  <c r="BM44" i="52"/>
  <c r="BM43" i="52"/>
  <c r="BM42" i="52"/>
  <c r="BM41" i="52"/>
  <c r="BH45" i="52"/>
  <c r="BH44" i="52"/>
  <c r="BH43" i="52"/>
  <c r="BH42" i="52"/>
  <c r="BH41" i="52"/>
  <c r="BC45" i="52"/>
  <c r="BC44" i="52"/>
  <c r="BC43" i="52"/>
  <c r="BC42" i="52"/>
  <c r="BC41" i="52"/>
  <c r="AX45" i="52"/>
  <c r="AX44" i="52"/>
  <c r="AX43" i="52"/>
  <c r="AX42" i="52"/>
  <c r="AX41" i="52"/>
  <c r="AS45" i="52"/>
  <c r="AS44" i="52"/>
  <c r="AS43" i="52"/>
  <c r="AS42" i="52"/>
  <c r="AS41" i="52"/>
  <c r="AN45" i="52"/>
  <c r="AN44" i="52"/>
  <c r="AN43" i="52"/>
  <c r="AN42" i="52"/>
  <c r="AN41" i="52"/>
  <c r="AI45" i="52"/>
  <c r="AI44" i="52"/>
  <c r="AI43" i="52"/>
  <c r="AI42" i="52"/>
  <c r="AI41" i="52"/>
  <c r="AD45" i="52"/>
  <c r="AD44" i="52"/>
  <c r="AD43" i="52"/>
  <c r="AD42" i="52"/>
  <c r="AD41" i="52"/>
  <c r="Y45" i="52"/>
  <c r="Y44" i="52"/>
  <c r="Y43" i="52"/>
  <c r="Y42" i="52"/>
  <c r="Y41" i="52"/>
  <c r="T45" i="52"/>
  <c r="T44" i="52"/>
  <c r="T43" i="52"/>
  <c r="T42" i="52"/>
  <c r="T41" i="52"/>
  <c r="O45" i="52"/>
  <c r="O44" i="52"/>
  <c r="O43" i="52"/>
  <c r="O42" i="52"/>
  <c r="O41" i="52"/>
  <c r="J45" i="52"/>
  <c r="J44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43" i="52"/>
  <c r="J42" i="52"/>
  <c r="J41" i="52"/>
  <c r="E41" i="52"/>
  <c r="N7" i="16"/>
  <c r="K7" i="16"/>
  <c r="N453" i="21"/>
  <c r="M453" i="21"/>
  <c r="E11" i="52"/>
  <c r="AC3" i="26"/>
  <c r="Z6" i="26" s="1"/>
  <c r="Z7" i="26"/>
  <c r="K10" i="27" s="1"/>
  <c r="M25" i="31"/>
  <c r="G15" i="31"/>
  <c r="G7" i="55"/>
  <c r="H9" i="55"/>
  <c r="H20" i="55" s="1"/>
  <c r="P22" i="27"/>
  <c r="O22" i="27"/>
  <c r="T28" i="36"/>
  <c r="U28" i="36"/>
  <c r="V28" i="36"/>
  <c r="T27" i="36"/>
  <c r="U27" i="36"/>
  <c r="V27" i="36"/>
  <c r="T26" i="36"/>
  <c r="U26" i="36"/>
  <c r="V26" i="36"/>
  <c r="T25" i="36"/>
  <c r="U25" i="36"/>
  <c r="V25" i="36"/>
  <c r="T24" i="36"/>
  <c r="U24" i="36"/>
  <c r="V24" i="36"/>
  <c r="T23" i="36"/>
  <c r="U23" i="36"/>
  <c r="V23" i="36"/>
  <c r="T22" i="36"/>
  <c r="U22" i="36"/>
  <c r="V22" i="36"/>
  <c r="T21" i="36"/>
  <c r="U21" i="36"/>
  <c r="V21" i="36"/>
  <c r="T20" i="36"/>
  <c r="U20" i="36"/>
  <c r="V20" i="36"/>
  <c r="T19" i="36"/>
  <c r="U19" i="36"/>
  <c r="V19" i="36"/>
  <c r="T18" i="36"/>
  <c r="U18" i="36"/>
  <c r="V18" i="36"/>
  <c r="T17" i="36"/>
  <c r="U17" i="36"/>
  <c r="V17" i="36"/>
  <c r="T16" i="36"/>
  <c r="U16" i="36"/>
  <c r="V16" i="36"/>
  <c r="T15" i="36"/>
  <c r="U15" i="36"/>
  <c r="V15" i="36"/>
  <c r="T14" i="36"/>
  <c r="U14" i="36"/>
  <c r="V14" i="36"/>
  <c r="T13" i="36"/>
  <c r="U13" i="36"/>
  <c r="V13" i="36"/>
  <c r="T12" i="36"/>
  <c r="U12" i="36"/>
  <c r="V12" i="36"/>
  <c r="T11" i="36"/>
  <c r="U11" i="36"/>
  <c r="V11" i="36"/>
  <c r="T10" i="36"/>
  <c r="U10" i="36"/>
  <c r="V10" i="36"/>
  <c r="T9" i="36"/>
  <c r="U9" i="36"/>
  <c r="V9" i="36"/>
  <c r="T8" i="36"/>
  <c r="U8" i="36"/>
  <c r="V8" i="36"/>
  <c r="T7" i="36"/>
  <c r="U7" i="36"/>
  <c r="V7" i="36"/>
  <c r="T6" i="36"/>
  <c r="U6" i="36"/>
  <c r="V6" i="36"/>
  <c r="T5" i="36"/>
  <c r="U5" i="36"/>
  <c r="V5" i="36"/>
  <c r="T4" i="36"/>
  <c r="U4" i="36"/>
  <c r="V4" i="36"/>
  <c r="T3" i="36"/>
  <c r="U3" i="36"/>
  <c r="V3" i="36"/>
  <c r="T2" i="36"/>
  <c r="U2" i="36"/>
  <c r="V2" i="36"/>
  <c r="AB2" i="36"/>
  <c r="AB3" i="36"/>
  <c r="AB4" i="36"/>
  <c r="AC4" i="36"/>
  <c r="AD2" i="26"/>
  <c r="J9" i="27"/>
  <c r="J10" i="27"/>
  <c r="J11" i="27"/>
  <c r="J12" i="27"/>
  <c r="J13" i="27"/>
  <c r="J14" i="27"/>
  <c r="J15" i="27"/>
  <c r="J16" i="27"/>
  <c r="J17" i="27"/>
  <c r="J18" i="27"/>
  <c r="J19" i="27"/>
  <c r="J20" i="27"/>
  <c r="S17" i="26"/>
  <c r="T17" i="26"/>
  <c r="U17" i="26"/>
  <c r="V17" i="26"/>
  <c r="W17" i="26"/>
  <c r="X17" i="26"/>
  <c r="Y17" i="26"/>
  <c r="R17" i="26"/>
  <c r="I10" i="27"/>
  <c r="I11" i="27"/>
  <c r="I12" i="27"/>
  <c r="I13" i="27"/>
  <c r="I14" i="27"/>
  <c r="I15" i="27"/>
  <c r="I16" i="27"/>
  <c r="I17" i="27"/>
  <c r="I18" i="27"/>
  <c r="I19" i="27"/>
  <c r="I9" i="27"/>
  <c r="I8" i="27"/>
  <c r="H14" i="55"/>
  <c r="H15" i="55" s="1"/>
  <c r="H27" i="55" s="1"/>
  <c r="K13" i="21"/>
  <c r="N13" i="21"/>
  <c r="M13" i="21"/>
  <c r="N11" i="21"/>
  <c r="M11" i="21"/>
  <c r="K14" i="21"/>
  <c r="N14" i="21"/>
  <c r="M14" i="21"/>
  <c r="K15" i="21"/>
  <c r="N15" i="21"/>
  <c r="M15" i="21"/>
  <c r="K16" i="21"/>
  <c r="N16" i="21"/>
  <c r="M16" i="21"/>
  <c r="K17" i="21"/>
  <c r="N17" i="21"/>
  <c r="M17" i="21"/>
  <c r="K18" i="21"/>
  <c r="N18" i="21"/>
  <c r="M18" i="21"/>
  <c r="K19" i="21"/>
  <c r="N19" i="21"/>
  <c r="M19" i="21"/>
  <c r="K20" i="21"/>
  <c r="N20" i="21"/>
  <c r="M20" i="21"/>
  <c r="K21" i="21"/>
  <c r="N21" i="21"/>
  <c r="M21" i="21"/>
  <c r="K22" i="21"/>
  <c r="N22" i="21"/>
  <c r="M22" i="21"/>
  <c r="K23" i="21"/>
  <c r="N23" i="21"/>
  <c r="M23" i="21"/>
  <c r="K24" i="21"/>
  <c r="N24" i="21"/>
  <c r="M24" i="21"/>
  <c r="K25" i="21"/>
  <c r="N25" i="21"/>
  <c r="M25" i="21"/>
  <c r="K26" i="21"/>
  <c r="N26" i="21"/>
  <c r="M26" i="21"/>
  <c r="K27" i="21"/>
  <c r="N27" i="21"/>
  <c r="M27" i="21"/>
  <c r="K28" i="21"/>
  <c r="N28" i="21"/>
  <c r="M28" i="21"/>
  <c r="K29" i="21"/>
  <c r="N29" i="21"/>
  <c r="M29" i="21"/>
  <c r="K30" i="21"/>
  <c r="N30" i="21"/>
  <c r="M30" i="21"/>
  <c r="K31" i="21"/>
  <c r="N31" i="21"/>
  <c r="M31" i="21"/>
  <c r="K32" i="21"/>
  <c r="N32" i="21"/>
  <c r="M32" i="21"/>
  <c r="K33" i="21"/>
  <c r="N33" i="21"/>
  <c r="M33" i="21"/>
  <c r="K34" i="21"/>
  <c r="N34" i="21"/>
  <c r="M34" i="21"/>
  <c r="K35" i="21"/>
  <c r="N35" i="21"/>
  <c r="M35" i="21"/>
  <c r="K36" i="21"/>
  <c r="N36" i="21"/>
  <c r="M36" i="21"/>
  <c r="K37" i="21"/>
  <c r="N37" i="21"/>
  <c r="M37" i="21"/>
  <c r="K38" i="21"/>
  <c r="N38" i="21"/>
  <c r="M38" i="21"/>
  <c r="K39" i="21"/>
  <c r="N39" i="21"/>
  <c r="M39" i="21"/>
  <c r="K40" i="21"/>
  <c r="N40" i="21"/>
  <c r="M40" i="21"/>
  <c r="K41" i="21"/>
  <c r="N41" i="21"/>
  <c r="M41" i="21"/>
  <c r="K42" i="21"/>
  <c r="N42" i="21"/>
  <c r="M42" i="21"/>
  <c r="M43" i="21"/>
  <c r="N46" i="21"/>
  <c r="K48" i="21"/>
  <c r="N48" i="21"/>
  <c r="K49" i="21"/>
  <c r="N49" i="21"/>
  <c r="K50" i="21"/>
  <c r="N50" i="21"/>
  <c r="K51" i="21"/>
  <c r="N51" i="21"/>
  <c r="K52" i="21"/>
  <c r="N52" i="21"/>
  <c r="K53" i="21"/>
  <c r="N53" i="21"/>
  <c r="K54" i="21"/>
  <c r="N54" i="21"/>
  <c r="K55" i="21"/>
  <c r="N55" i="21"/>
  <c r="K56" i="21"/>
  <c r="N56" i="21"/>
  <c r="K57" i="21"/>
  <c r="N57" i="21"/>
  <c r="K58" i="21"/>
  <c r="N58" i="21"/>
  <c r="K59" i="21"/>
  <c r="N59" i="21"/>
  <c r="K60" i="21"/>
  <c r="N60" i="21"/>
  <c r="K61" i="21"/>
  <c r="N61" i="21"/>
  <c r="K62" i="21"/>
  <c r="N62" i="21"/>
  <c r="K63" i="21"/>
  <c r="N63" i="21"/>
  <c r="K64" i="21"/>
  <c r="N64" i="21"/>
  <c r="K65" i="21"/>
  <c r="N65" i="21"/>
  <c r="K66" i="21"/>
  <c r="N66" i="21"/>
  <c r="K67" i="21"/>
  <c r="N67" i="21"/>
  <c r="K68" i="21"/>
  <c r="N68" i="21"/>
  <c r="K69" i="21"/>
  <c r="N69" i="21"/>
  <c r="K70" i="21"/>
  <c r="N70" i="21"/>
  <c r="K71" i="21"/>
  <c r="N71" i="21"/>
  <c r="K72" i="21"/>
  <c r="N72" i="21"/>
  <c r="K73" i="21"/>
  <c r="N73" i="21"/>
  <c r="K74" i="21"/>
  <c r="N74" i="21"/>
  <c r="K75" i="21"/>
  <c r="N75" i="21"/>
  <c r="K76" i="21"/>
  <c r="N76" i="21"/>
  <c r="K77" i="21"/>
  <c r="N77" i="21"/>
  <c r="N78" i="21"/>
  <c r="M78" i="21"/>
  <c r="M79" i="21"/>
  <c r="N83" i="21"/>
  <c r="M83" i="21"/>
  <c r="K85" i="21"/>
  <c r="N85" i="21"/>
  <c r="M85" i="21"/>
  <c r="K86" i="21"/>
  <c r="N86" i="21"/>
  <c r="M86" i="21"/>
  <c r="K87" i="21"/>
  <c r="N87" i="21"/>
  <c r="M87" i="21"/>
  <c r="K88" i="21"/>
  <c r="N88" i="21"/>
  <c r="M88" i="21"/>
  <c r="K89" i="21"/>
  <c r="N89" i="21"/>
  <c r="M89" i="21"/>
  <c r="K90" i="21"/>
  <c r="N90" i="21"/>
  <c r="M90" i="21"/>
  <c r="K91" i="21"/>
  <c r="N91" i="21"/>
  <c r="M91" i="21"/>
  <c r="K92" i="21"/>
  <c r="N92" i="21"/>
  <c r="M92" i="21"/>
  <c r="K93" i="21"/>
  <c r="N93" i="21"/>
  <c r="M93" i="21"/>
  <c r="K94" i="21"/>
  <c r="N94" i="21"/>
  <c r="M94" i="21"/>
  <c r="K95" i="21"/>
  <c r="N95" i="21"/>
  <c r="M95" i="21"/>
  <c r="K96" i="21"/>
  <c r="N96" i="21"/>
  <c r="M96" i="21"/>
  <c r="K97" i="21"/>
  <c r="N97" i="21"/>
  <c r="M97" i="21"/>
  <c r="K98" i="21"/>
  <c r="N98" i="21"/>
  <c r="M98" i="21"/>
  <c r="K99" i="21"/>
  <c r="N99" i="21"/>
  <c r="M99" i="21"/>
  <c r="K100" i="21"/>
  <c r="N100" i="21"/>
  <c r="M100" i="21"/>
  <c r="K101" i="21"/>
  <c r="N101" i="21"/>
  <c r="M101" i="21"/>
  <c r="K102" i="21"/>
  <c r="N102" i="21"/>
  <c r="M102" i="21"/>
  <c r="K103" i="21"/>
  <c r="N103" i="21"/>
  <c r="M103" i="21"/>
  <c r="K104" i="21"/>
  <c r="N104" i="21"/>
  <c r="M104" i="21"/>
  <c r="K105" i="21"/>
  <c r="N105" i="21"/>
  <c r="M105" i="21"/>
  <c r="K106" i="21"/>
  <c r="N106" i="21"/>
  <c r="M106" i="21"/>
  <c r="K107" i="21"/>
  <c r="N107" i="21"/>
  <c r="M107" i="21"/>
  <c r="K108" i="21"/>
  <c r="N108" i="21"/>
  <c r="M108" i="21"/>
  <c r="K109" i="21"/>
  <c r="N109" i="21"/>
  <c r="M109" i="21"/>
  <c r="K110" i="21"/>
  <c r="N110" i="21"/>
  <c r="M110" i="21"/>
  <c r="K111" i="21"/>
  <c r="N111" i="21"/>
  <c r="M111" i="21"/>
  <c r="K112" i="21"/>
  <c r="N112" i="21"/>
  <c r="M112" i="21"/>
  <c r="K113" i="21"/>
  <c r="N113" i="21"/>
  <c r="M113" i="21"/>
  <c r="K114" i="21"/>
  <c r="N114" i="21"/>
  <c r="M114" i="21"/>
  <c r="M115" i="21"/>
  <c r="N118" i="21"/>
  <c r="M118" i="21"/>
  <c r="K120" i="21"/>
  <c r="N120" i="21"/>
  <c r="M120" i="21"/>
  <c r="K121" i="21"/>
  <c r="N121" i="21"/>
  <c r="M121" i="21"/>
  <c r="K122" i="21"/>
  <c r="N122" i="21"/>
  <c r="M122" i="21"/>
  <c r="K123" i="21"/>
  <c r="N123" i="21"/>
  <c r="M123" i="21"/>
  <c r="K124" i="21"/>
  <c r="N124" i="21"/>
  <c r="M124" i="21"/>
  <c r="K125" i="21"/>
  <c r="N125" i="21"/>
  <c r="M125" i="21"/>
  <c r="K126" i="21"/>
  <c r="N126" i="21"/>
  <c r="M126" i="21"/>
  <c r="K127" i="21"/>
  <c r="N127" i="21"/>
  <c r="M127" i="21"/>
  <c r="K128" i="21"/>
  <c r="N128" i="21"/>
  <c r="M128" i="21"/>
  <c r="K129" i="21"/>
  <c r="N129" i="21"/>
  <c r="M129" i="21"/>
  <c r="K130" i="21"/>
  <c r="N130" i="21"/>
  <c r="M130" i="21"/>
  <c r="K131" i="21"/>
  <c r="N131" i="21"/>
  <c r="M131" i="21"/>
  <c r="K132" i="21"/>
  <c r="N132" i="21"/>
  <c r="M132" i="21"/>
  <c r="K133" i="21"/>
  <c r="N133" i="21"/>
  <c r="M133" i="21"/>
  <c r="K134" i="21"/>
  <c r="N134" i="21"/>
  <c r="M134" i="21"/>
  <c r="K135" i="21"/>
  <c r="N135" i="21"/>
  <c r="M135" i="21"/>
  <c r="K136" i="21"/>
  <c r="N136" i="21"/>
  <c r="M136" i="21"/>
  <c r="K137" i="21"/>
  <c r="N137" i="21"/>
  <c r="M137" i="21"/>
  <c r="K138" i="21"/>
  <c r="N138" i="21"/>
  <c r="M138" i="21"/>
  <c r="K139" i="21"/>
  <c r="N139" i="21"/>
  <c r="M139" i="21"/>
  <c r="K140" i="21"/>
  <c r="N140" i="21"/>
  <c r="M140" i="21"/>
  <c r="K141" i="21"/>
  <c r="N141" i="21"/>
  <c r="M141" i="21"/>
  <c r="K142" i="21"/>
  <c r="N142" i="21"/>
  <c r="M142" i="21"/>
  <c r="K143" i="21"/>
  <c r="N143" i="21"/>
  <c r="M143" i="21"/>
  <c r="K144" i="21"/>
  <c r="N144" i="21"/>
  <c r="M144" i="21"/>
  <c r="K145" i="21"/>
  <c r="N145" i="21"/>
  <c r="M145" i="21"/>
  <c r="K146" i="21"/>
  <c r="N146" i="21"/>
  <c r="M146" i="21"/>
  <c r="K147" i="21"/>
  <c r="N147" i="21"/>
  <c r="M147" i="21"/>
  <c r="K148" i="21"/>
  <c r="N148" i="21"/>
  <c r="M148" i="21"/>
  <c r="K149" i="21"/>
  <c r="N149" i="21"/>
  <c r="M149" i="21"/>
  <c r="M150" i="21"/>
  <c r="M151" i="21"/>
  <c r="N180" i="21"/>
  <c r="M180" i="21"/>
  <c r="K182" i="21"/>
  <c r="N182" i="21"/>
  <c r="M182" i="21"/>
  <c r="K183" i="21"/>
  <c r="N183" i="21"/>
  <c r="M183" i="21"/>
  <c r="K184" i="21"/>
  <c r="N184" i="21"/>
  <c r="M184" i="21"/>
  <c r="K185" i="21"/>
  <c r="N185" i="21"/>
  <c r="M185" i="21"/>
  <c r="K186" i="21"/>
  <c r="N186" i="21"/>
  <c r="M186" i="21"/>
  <c r="K187" i="21"/>
  <c r="N187" i="21"/>
  <c r="M187" i="21"/>
  <c r="K188" i="21"/>
  <c r="N188" i="21"/>
  <c r="M188" i="21"/>
  <c r="K189" i="21"/>
  <c r="N189" i="21"/>
  <c r="M189" i="21"/>
  <c r="K190" i="21"/>
  <c r="N190" i="21"/>
  <c r="M190" i="21"/>
  <c r="K191" i="21"/>
  <c r="N191" i="21"/>
  <c r="M191" i="21"/>
  <c r="K192" i="21"/>
  <c r="N192" i="21"/>
  <c r="M192" i="21"/>
  <c r="K193" i="21"/>
  <c r="N193" i="21"/>
  <c r="M193" i="21"/>
  <c r="K194" i="21"/>
  <c r="N194" i="21"/>
  <c r="M194" i="21"/>
  <c r="K195" i="21"/>
  <c r="N195" i="21"/>
  <c r="M195" i="21"/>
  <c r="K196" i="21"/>
  <c r="N196" i="21"/>
  <c r="M196" i="21"/>
  <c r="K197" i="21"/>
  <c r="N197" i="21"/>
  <c r="M197" i="21"/>
  <c r="K198" i="21"/>
  <c r="N198" i="21"/>
  <c r="M198" i="21"/>
  <c r="K199" i="21"/>
  <c r="N199" i="21"/>
  <c r="M199" i="21"/>
  <c r="K200" i="21"/>
  <c r="N200" i="21"/>
  <c r="M200" i="21"/>
  <c r="K201" i="21"/>
  <c r="N201" i="21"/>
  <c r="M201" i="21"/>
  <c r="M202" i="21"/>
  <c r="N155" i="21"/>
  <c r="M155" i="21"/>
  <c r="K157" i="21"/>
  <c r="N157" i="21"/>
  <c r="M157" i="21"/>
  <c r="K158" i="21"/>
  <c r="N158" i="21"/>
  <c r="M158" i="21"/>
  <c r="K159" i="21"/>
  <c r="N159" i="21"/>
  <c r="M159" i="21"/>
  <c r="K160" i="21"/>
  <c r="N160" i="21"/>
  <c r="M160" i="21"/>
  <c r="K161" i="21"/>
  <c r="N161" i="21"/>
  <c r="M161" i="21"/>
  <c r="K162" i="21"/>
  <c r="N162" i="21"/>
  <c r="M162" i="21"/>
  <c r="K163" i="21"/>
  <c r="N163" i="21"/>
  <c r="M163" i="21"/>
  <c r="K164" i="21"/>
  <c r="N164" i="21"/>
  <c r="M164" i="21"/>
  <c r="K165" i="21"/>
  <c r="N165" i="21"/>
  <c r="M165" i="21"/>
  <c r="K166" i="21"/>
  <c r="N166" i="21"/>
  <c r="M166" i="21"/>
  <c r="K167" i="21"/>
  <c r="N167" i="21"/>
  <c r="M167" i="21"/>
  <c r="K168" i="21"/>
  <c r="N168" i="21"/>
  <c r="M168" i="21"/>
  <c r="K169" i="21"/>
  <c r="N169" i="21"/>
  <c r="M169" i="21"/>
  <c r="K170" i="21"/>
  <c r="N170" i="21"/>
  <c r="M170" i="21"/>
  <c r="K171" i="21"/>
  <c r="N171" i="21"/>
  <c r="M171" i="21"/>
  <c r="K172" i="21"/>
  <c r="N172" i="21"/>
  <c r="M172" i="21"/>
  <c r="K173" i="21"/>
  <c r="N173" i="21"/>
  <c r="M173" i="21"/>
  <c r="K174" i="21"/>
  <c r="N174" i="21"/>
  <c r="M174" i="21"/>
  <c r="K175" i="21"/>
  <c r="N175" i="21"/>
  <c r="M175" i="21"/>
  <c r="K176" i="21"/>
  <c r="N176" i="21"/>
  <c r="M176" i="21"/>
  <c r="M177" i="21"/>
  <c r="M203" i="21"/>
  <c r="N207" i="21"/>
  <c r="M207" i="21"/>
  <c r="K209" i="21"/>
  <c r="N209" i="21"/>
  <c r="M209" i="21"/>
  <c r="K210" i="21"/>
  <c r="N210" i="21"/>
  <c r="M210" i="21"/>
  <c r="K211" i="21"/>
  <c r="N211" i="21"/>
  <c r="M211" i="21"/>
  <c r="K212" i="21"/>
  <c r="N212" i="21"/>
  <c r="M212" i="21"/>
  <c r="K213" i="21"/>
  <c r="N213" i="21"/>
  <c r="M213" i="21"/>
  <c r="K214" i="21"/>
  <c r="N214" i="21"/>
  <c r="M214" i="21"/>
  <c r="K215" i="21"/>
  <c r="N215" i="21"/>
  <c r="M215" i="21"/>
  <c r="K216" i="21"/>
  <c r="N216" i="21"/>
  <c r="M216" i="21"/>
  <c r="K217" i="21"/>
  <c r="N217" i="21"/>
  <c r="M217" i="21"/>
  <c r="K218" i="21"/>
  <c r="N218" i="21"/>
  <c r="M218" i="21"/>
  <c r="K219" i="21"/>
  <c r="N219" i="21"/>
  <c r="M219" i="21"/>
  <c r="K220" i="21"/>
  <c r="N220" i="21"/>
  <c r="M220" i="21"/>
  <c r="K221" i="21"/>
  <c r="N221" i="21"/>
  <c r="M221" i="21"/>
  <c r="K222" i="21"/>
  <c r="N222" i="21"/>
  <c r="M222" i="21"/>
  <c r="K223" i="21"/>
  <c r="N223" i="21"/>
  <c r="M223" i="21"/>
  <c r="K224" i="21"/>
  <c r="N224" i="21"/>
  <c r="M224" i="21"/>
  <c r="K225" i="21"/>
  <c r="N225" i="21"/>
  <c r="M225" i="21"/>
  <c r="K226" i="21"/>
  <c r="N226" i="21"/>
  <c r="M226" i="21"/>
  <c r="K227" i="21"/>
  <c r="N227" i="21"/>
  <c r="M227" i="21"/>
  <c r="K228" i="21"/>
  <c r="N228" i="21"/>
  <c r="M228" i="21"/>
  <c r="M229" i="21"/>
  <c r="N232" i="21"/>
  <c r="M232" i="21"/>
  <c r="K234" i="21"/>
  <c r="N234" i="21"/>
  <c r="M234" i="21"/>
  <c r="K235" i="21"/>
  <c r="N235" i="21"/>
  <c r="M235" i="21"/>
  <c r="K236" i="21"/>
  <c r="N236" i="21"/>
  <c r="M236" i="21"/>
  <c r="K237" i="21"/>
  <c r="N237" i="21"/>
  <c r="M237" i="21"/>
  <c r="K238" i="21"/>
  <c r="N238" i="21"/>
  <c r="M238" i="21"/>
  <c r="K239" i="21"/>
  <c r="N239" i="21"/>
  <c r="M239" i="21"/>
  <c r="K240" i="21"/>
  <c r="N240" i="21"/>
  <c r="M240" i="21"/>
  <c r="K241" i="21"/>
  <c r="N241" i="21"/>
  <c r="M241" i="21"/>
  <c r="K242" i="21"/>
  <c r="N242" i="21"/>
  <c r="M242" i="21"/>
  <c r="K243" i="21"/>
  <c r="N243" i="21"/>
  <c r="M243" i="21"/>
  <c r="K244" i="21"/>
  <c r="N244" i="21"/>
  <c r="M244" i="21"/>
  <c r="K245" i="21"/>
  <c r="N245" i="21"/>
  <c r="M245" i="21"/>
  <c r="K246" i="21"/>
  <c r="N246" i="21"/>
  <c r="M246" i="21"/>
  <c r="K247" i="21"/>
  <c r="N247" i="21"/>
  <c r="M247" i="21"/>
  <c r="K248" i="21"/>
  <c r="N248" i="21"/>
  <c r="M248" i="21"/>
  <c r="K249" i="21"/>
  <c r="N249" i="21"/>
  <c r="M249" i="21"/>
  <c r="K250" i="21"/>
  <c r="N250" i="21"/>
  <c r="M250" i="21"/>
  <c r="K251" i="21"/>
  <c r="N251" i="21"/>
  <c r="M251" i="21"/>
  <c r="K252" i="21"/>
  <c r="N252" i="21"/>
  <c r="M252" i="21"/>
  <c r="K253" i="21"/>
  <c r="N253" i="21"/>
  <c r="M253" i="21"/>
  <c r="M254" i="21"/>
  <c r="M255" i="21"/>
  <c r="N259" i="21"/>
  <c r="M259" i="21"/>
  <c r="K261" i="21"/>
  <c r="N261" i="21"/>
  <c r="M261" i="21"/>
  <c r="K262" i="21"/>
  <c r="N262" i="21"/>
  <c r="M262" i="21"/>
  <c r="K263" i="21"/>
  <c r="N263" i="21"/>
  <c r="M263" i="21"/>
  <c r="K264" i="21"/>
  <c r="N264" i="21"/>
  <c r="M264" i="21"/>
  <c r="K265" i="21"/>
  <c r="N265" i="21"/>
  <c r="M265" i="21"/>
  <c r="K266" i="21"/>
  <c r="N266" i="21"/>
  <c r="M266" i="21"/>
  <c r="K267" i="21"/>
  <c r="N267" i="21"/>
  <c r="M267" i="21"/>
  <c r="K268" i="21"/>
  <c r="N268" i="21"/>
  <c r="M268" i="21"/>
  <c r="K269" i="21"/>
  <c r="N269" i="21"/>
  <c r="M269" i="21"/>
  <c r="K270" i="21"/>
  <c r="N270" i="21"/>
  <c r="M270" i="21"/>
  <c r="K271" i="21"/>
  <c r="N271" i="21"/>
  <c r="M271" i="21"/>
  <c r="K272" i="21"/>
  <c r="N272" i="21"/>
  <c r="M272" i="21"/>
  <c r="K273" i="21"/>
  <c r="N273" i="21"/>
  <c r="M273" i="21"/>
  <c r="K274" i="21"/>
  <c r="N274" i="21"/>
  <c r="M274" i="21"/>
  <c r="K275" i="21"/>
  <c r="N275" i="21"/>
  <c r="M275" i="21"/>
  <c r="K276" i="21"/>
  <c r="N276" i="21"/>
  <c r="M276" i="21"/>
  <c r="K277" i="21"/>
  <c r="N277" i="21"/>
  <c r="M277" i="21"/>
  <c r="K278" i="21"/>
  <c r="N278" i="21"/>
  <c r="M278" i="21"/>
  <c r="K279" i="21"/>
  <c r="N279" i="21"/>
  <c r="M279" i="21"/>
  <c r="K280" i="21"/>
  <c r="N280" i="21"/>
  <c r="M280" i="21"/>
  <c r="M281" i="21"/>
  <c r="N284" i="21"/>
  <c r="M284" i="21"/>
  <c r="K286" i="21"/>
  <c r="N286" i="21"/>
  <c r="M286" i="21"/>
  <c r="K287" i="21"/>
  <c r="N287" i="21"/>
  <c r="M287" i="21"/>
  <c r="K288" i="21"/>
  <c r="N288" i="21"/>
  <c r="M288" i="21"/>
  <c r="K289" i="21"/>
  <c r="N289" i="21"/>
  <c r="M289" i="21"/>
  <c r="K290" i="21"/>
  <c r="N290" i="21"/>
  <c r="M290" i="21"/>
  <c r="K291" i="21"/>
  <c r="N291" i="21"/>
  <c r="M291" i="21"/>
  <c r="K292" i="21"/>
  <c r="N292" i="21"/>
  <c r="M292" i="21"/>
  <c r="K293" i="21"/>
  <c r="N293" i="21"/>
  <c r="M293" i="21"/>
  <c r="K294" i="21"/>
  <c r="N294" i="21"/>
  <c r="M294" i="21"/>
  <c r="K295" i="21"/>
  <c r="N295" i="21"/>
  <c r="M295" i="21"/>
  <c r="K296" i="21"/>
  <c r="N296" i="21"/>
  <c r="M296" i="21"/>
  <c r="K297" i="21"/>
  <c r="N297" i="21"/>
  <c r="M297" i="21"/>
  <c r="K298" i="21"/>
  <c r="N298" i="21"/>
  <c r="M298" i="21"/>
  <c r="K299" i="21"/>
  <c r="N299" i="21"/>
  <c r="M299" i="21"/>
  <c r="K300" i="21"/>
  <c r="N300" i="21"/>
  <c r="M300" i="21"/>
  <c r="K301" i="21"/>
  <c r="N301" i="21"/>
  <c r="M301" i="21"/>
  <c r="K302" i="21"/>
  <c r="N302" i="21"/>
  <c r="M302" i="21"/>
  <c r="K303" i="21"/>
  <c r="N303" i="21"/>
  <c r="M303" i="21"/>
  <c r="K304" i="21"/>
  <c r="N304" i="21"/>
  <c r="M304" i="21"/>
  <c r="K305" i="21"/>
  <c r="N305" i="21"/>
  <c r="M305" i="21"/>
  <c r="M306" i="21"/>
  <c r="M307" i="21"/>
  <c r="N311" i="21"/>
  <c r="M311" i="21"/>
  <c r="K313" i="21"/>
  <c r="N313" i="21"/>
  <c r="M313" i="21"/>
  <c r="K314" i="21"/>
  <c r="N314" i="21"/>
  <c r="M314" i="21"/>
  <c r="K315" i="21"/>
  <c r="N315" i="21"/>
  <c r="M315" i="21"/>
  <c r="K316" i="21"/>
  <c r="N316" i="21"/>
  <c r="M316" i="21"/>
  <c r="K317" i="21"/>
  <c r="N317" i="21"/>
  <c r="M317" i="21"/>
  <c r="K318" i="21"/>
  <c r="N318" i="21"/>
  <c r="M318" i="21"/>
  <c r="K319" i="21"/>
  <c r="N319" i="21"/>
  <c r="M319" i="21"/>
  <c r="K320" i="21"/>
  <c r="N320" i="21"/>
  <c r="M320" i="21"/>
  <c r="K321" i="21"/>
  <c r="N321" i="21"/>
  <c r="M321" i="21"/>
  <c r="K322" i="21"/>
  <c r="N322" i="21"/>
  <c r="M322" i="21"/>
  <c r="K323" i="21"/>
  <c r="N323" i="21"/>
  <c r="M323" i="21"/>
  <c r="K324" i="21"/>
  <c r="N324" i="21"/>
  <c r="M324" i="21"/>
  <c r="K325" i="21"/>
  <c r="N325" i="21"/>
  <c r="M325" i="21"/>
  <c r="K326" i="21"/>
  <c r="N326" i="21"/>
  <c r="M326" i="21"/>
  <c r="K327" i="21"/>
  <c r="N327" i="21"/>
  <c r="M327" i="21"/>
  <c r="K328" i="21"/>
  <c r="N328" i="21"/>
  <c r="M328" i="21"/>
  <c r="K329" i="21"/>
  <c r="N329" i="21"/>
  <c r="M329" i="21"/>
  <c r="K330" i="21"/>
  <c r="N330" i="21"/>
  <c r="M330" i="21"/>
  <c r="K331" i="21"/>
  <c r="N331" i="21"/>
  <c r="M331" i="21"/>
  <c r="K332" i="21"/>
  <c r="N332" i="21"/>
  <c r="M332" i="21"/>
  <c r="K333" i="21"/>
  <c r="N333" i="21"/>
  <c r="M333" i="21"/>
  <c r="K334" i="21"/>
  <c r="N334" i="21"/>
  <c r="M334" i="21"/>
  <c r="K335" i="21"/>
  <c r="N335" i="21"/>
  <c r="M335" i="21"/>
  <c r="K336" i="21"/>
  <c r="N336" i="21"/>
  <c r="M336" i="21"/>
  <c r="K337" i="21"/>
  <c r="N337" i="21"/>
  <c r="M337" i="21"/>
  <c r="K338" i="21"/>
  <c r="N338" i="21"/>
  <c r="M338" i="21"/>
  <c r="K339" i="21"/>
  <c r="N339" i="21"/>
  <c r="M339" i="21"/>
  <c r="K340" i="21"/>
  <c r="N340" i="21"/>
  <c r="M340" i="21"/>
  <c r="K341" i="21"/>
  <c r="N341" i="21"/>
  <c r="M341" i="21"/>
  <c r="K342" i="21"/>
  <c r="N342" i="21"/>
  <c r="M342" i="21"/>
  <c r="M343" i="21"/>
  <c r="M344" i="21"/>
  <c r="N348" i="21"/>
  <c r="M348" i="21"/>
  <c r="K350" i="21"/>
  <c r="N350" i="21"/>
  <c r="M350" i="21"/>
  <c r="K351" i="21"/>
  <c r="N351" i="21"/>
  <c r="M351" i="21"/>
  <c r="K352" i="21"/>
  <c r="N352" i="21"/>
  <c r="M352" i="21"/>
  <c r="K353" i="21"/>
  <c r="N353" i="21"/>
  <c r="M353" i="21"/>
  <c r="K354" i="21"/>
  <c r="N354" i="21"/>
  <c r="M354" i="21"/>
  <c r="K355" i="21"/>
  <c r="N355" i="21"/>
  <c r="M355" i="21"/>
  <c r="K356" i="21"/>
  <c r="N356" i="21"/>
  <c r="M356" i="21"/>
  <c r="K357" i="21"/>
  <c r="N357" i="21"/>
  <c r="M357" i="21"/>
  <c r="K358" i="21"/>
  <c r="N358" i="21"/>
  <c r="M358" i="21"/>
  <c r="K359" i="21"/>
  <c r="N359" i="21"/>
  <c r="M359" i="21"/>
  <c r="K360" i="21"/>
  <c r="N360" i="21"/>
  <c r="M360" i="21"/>
  <c r="K361" i="21"/>
  <c r="N361" i="21"/>
  <c r="M361" i="21"/>
  <c r="K362" i="21"/>
  <c r="N362" i="21"/>
  <c r="M362" i="21"/>
  <c r="K363" i="21"/>
  <c r="N363" i="21"/>
  <c r="M363" i="21"/>
  <c r="K364" i="21"/>
  <c r="N364" i="21"/>
  <c r="M364" i="21"/>
  <c r="K365" i="21"/>
  <c r="N365" i="21"/>
  <c r="M365" i="21"/>
  <c r="K366" i="21"/>
  <c r="N366" i="21"/>
  <c r="M366" i="21"/>
  <c r="K367" i="21"/>
  <c r="N367" i="21"/>
  <c r="M367" i="21"/>
  <c r="K368" i="21"/>
  <c r="N368" i="21"/>
  <c r="M368" i="21"/>
  <c r="K369" i="21"/>
  <c r="N369" i="21"/>
  <c r="M369" i="21"/>
  <c r="K370" i="21"/>
  <c r="N370" i="21"/>
  <c r="M370" i="21"/>
  <c r="K371" i="21"/>
  <c r="N371" i="21"/>
  <c r="M371" i="21"/>
  <c r="K372" i="21"/>
  <c r="N372" i="21"/>
  <c r="M372" i="21"/>
  <c r="K373" i="21"/>
  <c r="N373" i="21"/>
  <c r="M373" i="21"/>
  <c r="K374" i="21"/>
  <c r="N374" i="21"/>
  <c r="M374" i="21"/>
  <c r="K375" i="21"/>
  <c r="N375" i="21"/>
  <c r="M375" i="21"/>
  <c r="K376" i="21"/>
  <c r="N376" i="21"/>
  <c r="M376" i="21"/>
  <c r="K377" i="21"/>
  <c r="N377" i="21"/>
  <c r="M377" i="21"/>
  <c r="K378" i="21"/>
  <c r="N378" i="21"/>
  <c r="M378" i="21"/>
  <c r="K379" i="21"/>
  <c r="N379" i="21"/>
  <c r="M379" i="21"/>
  <c r="M380" i="21"/>
  <c r="N383" i="21"/>
  <c r="M383" i="21"/>
  <c r="K385" i="21"/>
  <c r="N385" i="21"/>
  <c r="M385" i="21"/>
  <c r="K386" i="21"/>
  <c r="N386" i="21"/>
  <c r="M386" i="21"/>
  <c r="K387" i="21"/>
  <c r="N387" i="21"/>
  <c r="M387" i="21"/>
  <c r="K388" i="21"/>
  <c r="N388" i="21"/>
  <c r="M388" i="21"/>
  <c r="K389" i="21"/>
  <c r="N389" i="21"/>
  <c r="M389" i="21"/>
  <c r="K390" i="21"/>
  <c r="N390" i="21"/>
  <c r="M390" i="21"/>
  <c r="K391" i="21"/>
  <c r="N391" i="21"/>
  <c r="M391" i="21"/>
  <c r="K392" i="21"/>
  <c r="N392" i="21"/>
  <c r="M392" i="21"/>
  <c r="K393" i="21"/>
  <c r="N393" i="21"/>
  <c r="M393" i="21"/>
  <c r="K394" i="21"/>
  <c r="N394" i="21"/>
  <c r="M394" i="21"/>
  <c r="K395" i="21"/>
  <c r="N395" i="21"/>
  <c r="M395" i="21"/>
  <c r="K396" i="21"/>
  <c r="N396" i="21"/>
  <c r="M396" i="21"/>
  <c r="K397" i="21"/>
  <c r="N397" i="21"/>
  <c r="M397" i="21"/>
  <c r="K398" i="21"/>
  <c r="N398" i="21"/>
  <c r="M398" i="21"/>
  <c r="K399" i="21"/>
  <c r="N399" i="21"/>
  <c r="M399" i="21"/>
  <c r="K400" i="21"/>
  <c r="N400" i="21"/>
  <c r="M400" i="21"/>
  <c r="K401" i="21"/>
  <c r="N401" i="21"/>
  <c r="M401" i="21"/>
  <c r="K402" i="21"/>
  <c r="N402" i="21"/>
  <c r="M402" i="21"/>
  <c r="K403" i="21"/>
  <c r="N403" i="21"/>
  <c r="M403" i="21"/>
  <c r="K404" i="21"/>
  <c r="N404" i="21"/>
  <c r="M404" i="21"/>
  <c r="K405" i="21"/>
  <c r="N405" i="21"/>
  <c r="M405" i="21"/>
  <c r="K406" i="21"/>
  <c r="N406" i="21"/>
  <c r="M406" i="21"/>
  <c r="K407" i="21"/>
  <c r="N407" i="21"/>
  <c r="M407" i="21"/>
  <c r="K408" i="21"/>
  <c r="N408" i="21"/>
  <c r="M408" i="21"/>
  <c r="K409" i="21"/>
  <c r="N409" i="21"/>
  <c r="M409" i="21"/>
  <c r="K410" i="21"/>
  <c r="N410" i="21"/>
  <c r="M410" i="21"/>
  <c r="K411" i="21"/>
  <c r="N411" i="21"/>
  <c r="M411" i="21"/>
  <c r="K412" i="21"/>
  <c r="N412" i="21"/>
  <c r="M412" i="21"/>
  <c r="K413" i="21"/>
  <c r="N413" i="21"/>
  <c r="M413" i="21"/>
  <c r="K414" i="21"/>
  <c r="N414" i="21"/>
  <c r="M414" i="21"/>
  <c r="M415" i="21"/>
  <c r="M416" i="21"/>
  <c r="M454" i="21"/>
  <c r="L86" i="22"/>
  <c r="K86" i="22"/>
  <c r="K93" i="22"/>
  <c r="L8" i="22"/>
  <c r="K8" i="22"/>
  <c r="L9" i="22"/>
  <c r="K9" i="22"/>
  <c r="K15" i="22"/>
  <c r="K94" i="22"/>
  <c r="E15" i="3"/>
  <c r="N7" i="5"/>
  <c r="K7" i="5"/>
  <c r="N8" i="5"/>
  <c r="K8" i="5"/>
  <c r="N9" i="5"/>
  <c r="K9" i="5"/>
  <c r="K27" i="5"/>
  <c r="N8" i="16"/>
  <c r="K8" i="16"/>
  <c r="N9" i="16"/>
  <c r="K9" i="16"/>
  <c r="N8" i="10"/>
  <c r="K8" i="10"/>
  <c r="N9" i="10"/>
  <c r="K9" i="10"/>
  <c r="K27" i="10"/>
  <c r="N8" i="14"/>
  <c r="K8" i="14"/>
  <c r="N9" i="14"/>
  <c r="K9" i="14"/>
  <c r="K27" i="14"/>
  <c r="N7" i="7"/>
  <c r="K7" i="7"/>
  <c r="N8" i="7"/>
  <c r="K8" i="7"/>
  <c r="K27" i="7"/>
  <c r="N7" i="41"/>
  <c r="K7" i="41"/>
  <c r="K27" i="41"/>
  <c r="N10" i="42"/>
  <c r="K10" i="42"/>
  <c r="N11" i="42"/>
  <c r="K11" i="42"/>
  <c r="K27" i="42"/>
  <c r="N32" i="5"/>
  <c r="K32" i="5"/>
  <c r="K38" i="5"/>
  <c r="N31" i="16"/>
  <c r="K31" i="16"/>
  <c r="N32" i="16"/>
  <c r="K32" i="16"/>
  <c r="K38" i="16"/>
  <c r="N31" i="10"/>
  <c r="K31" i="10"/>
  <c r="K38" i="10"/>
  <c r="N50" i="5"/>
  <c r="K50" i="5"/>
  <c r="N51" i="5"/>
  <c r="K51" i="5"/>
  <c r="K53" i="5"/>
  <c r="N43" i="16"/>
  <c r="K43" i="16"/>
  <c r="K46" i="16"/>
  <c r="N6" i="56"/>
  <c r="K6" i="56"/>
  <c r="N7" i="56"/>
  <c r="K7" i="56" s="1"/>
  <c r="H9" i="17"/>
  <c r="H11" i="17"/>
  <c r="H14" i="17"/>
  <c r="H15" i="17"/>
  <c r="H20" i="17"/>
  <c r="I9" i="17"/>
  <c r="I11" i="17"/>
  <c r="I14" i="17"/>
  <c r="I15" i="17"/>
  <c r="I20" i="17"/>
  <c r="J9" i="17"/>
  <c r="J11" i="17"/>
  <c r="J14" i="17"/>
  <c r="J15" i="17"/>
  <c r="J20" i="17"/>
  <c r="K9" i="17"/>
  <c r="K11" i="17"/>
  <c r="K14" i="17"/>
  <c r="K15" i="17"/>
  <c r="K20" i="17"/>
  <c r="L9" i="17"/>
  <c r="L11" i="17"/>
  <c r="L14" i="17"/>
  <c r="L15" i="17"/>
  <c r="L20" i="17"/>
  <c r="M9" i="17"/>
  <c r="M11" i="17"/>
  <c r="M14" i="17"/>
  <c r="M15" i="17"/>
  <c r="M20" i="17"/>
  <c r="N9" i="17"/>
  <c r="N11" i="17"/>
  <c r="N14" i="17"/>
  <c r="N15" i="17"/>
  <c r="N20" i="17"/>
  <c r="O9" i="17"/>
  <c r="O11" i="17"/>
  <c r="O14" i="17"/>
  <c r="O15" i="17"/>
  <c r="O20" i="17"/>
  <c r="P9" i="17"/>
  <c r="P11" i="17"/>
  <c r="P14" i="17"/>
  <c r="P15" i="17"/>
  <c r="P20" i="17"/>
  <c r="Q9" i="17"/>
  <c r="Q11" i="17"/>
  <c r="Q14" i="17"/>
  <c r="Q15" i="17"/>
  <c r="Q20" i="17"/>
  <c r="R9" i="17"/>
  <c r="R11" i="17"/>
  <c r="R14" i="17"/>
  <c r="R15" i="17"/>
  <c r="R20" i="17"/>
  <c r="S9" i="17"/>
  <c r="S11" i="17"/>
  <c r="S14" i="17"/>
  <c r="S15" i="17"/>
  <c r="S20" i="17"/>
  <c r="T9" i="17"/>
  <c r="T11" i="17"/>
  <c r="T14" i="17"/>
  <c r="T15" i="17"/>
  <c r="T20" i="17"/>
  <c r="U9" i="17"/>
  <c r="U11" i="17"/>
  <c r="U14" i="17"/>
  <c r="U15" i="17"/>
  <c r="U20" i="17"/>
  <c r="V9" i="17"/>
  <c r="V11" i="17"/>
  <c r="V14" i="17"/>
  <c r="V15" i="17"/>
  <c r="V20" i="17"/>
  <c r="W9" i="17"/>
  <c r="W11" i="17"/>
  <c r="W14" i="17"/>
  <c r="W15" i="17"/>
  <c r="W20" i="17"/>
  <c r="X9" i="17"/>
  <c r="X11" i="17"/>
  <c r="X14" i="17"/>
  <c r="X15" i="17"/>
  <c r="X20" i="17"/>
  <c r="Y9" i="17"/>
  <c r="Y11" i="17"/>
  <c r="Y14" i="17"/>
  <c r="Y15" i="17"/>
  <c r="Y20" i="17"/>
  <c r="Z9" i="17"/>
  <c r="Z11" i="17"/>
  <c r="Z14" i="17"/>
  <c r="Z15" i="17"/>
  <c r="Z20" i="17"/>
  <c r="AA9" i="17"/>
  <c r="AA11" i="17"/>
  <c r="AA14" i="17"/>
  <c r="AA15" i="17"/>
  <c r="AA20" i="17"/>
  <c r="H10" i="6"/>
  <c r="H18" i="6"/>
  <c r="H20" i="6"/>
  <c r="H28" i="6"/>
  <c r="H36" i="6"/>
  <c r="H38" i="6"/>
  <c r="H42" i="6"/>
  <c r="H13" i="6"/>
  <c r="H19" i="6"/>
  <c r="H31" i="6"/>
  <c r="H37" i="6"/>
  <c r="H44" i="6"/>
  <c r="I10" i="6"/>
  <c r="I18" i="6"/>
  <c r="I20" i="6"/>
  <c r="I28" i="6"/>
  <c r="I36" i="6"/>
  <c r="I38" i="6"/>
  <c r="I42" i="6"/>
  <c r="I13" i="6"/>
  <c r="I19" i="6"/>
  <c r="I31" i="6"/>
  <c r="I37" i="6"/>
  <c r="I44" i="6"/>
  <c r="G22" i="15"/>
  <c r="G24" i="15"/>
  <c r="V7" i="16"/>
  <c r="W7" i="16"/>
  <c r="A2" i="53"/>
  <c r="A3" i="53"/>
  <c r="A5" i="53"/>
  <c r="A4" i="53"/>
  <c r="A9" i="53"/>
  <c r="A12" i="53"/>
  <c r="E10" i="52"/>
  <c r="E12" i="52"/>
  <c r="E13" i="52"/>
  <c r="E14" i="52"/>
  <c r="E15" i="52"/>
  <c r="E16" i="52"/>
  <c r="E17" i="52"/>
  <c r="E18" i="52"/>
  <c r="E19" i="52"/>
  <c r="E20" i="52"/>
  <c r="E21" i="52"/>
  <c r="E42" i="52"/>
  <c r="C2" i="53"/>
  <c r="C3" i="53"/>
  <c r="H55" i="17"/>
  <c r="H24" i="6"/>
  <c r="I24" i="6"/>
  <c r="H56" i="17"/>
  <c r="H57" i="17"/>
  <c r="H58" i="17"/>
  <c r="E29" i="3"/>
  <c r="K48" i="41"/>
  <c r="K54" i="41"/>
  <c r="C29" i="3"/>
  <c r="G29" i="3"/>
  <c r="K48" i="5"/>
  <c r="K47" i="5"/>
  <c r="K54" i="5"/>
  <c r="C24" i="3"/>
  <c r="E24" i="3"/>
  <c r="G24" i="3"/>
  <c r="K48" i="16"/>
  <c r="K54" i="16"/>
  <c r="C25" i="3"/>
  <c r="E26" i="3"/>
  <c r="K48" i="10"/>
  <c r="K54" i="10"/>
  <c r="C26" i="3"/>
  <c r="G26" i="3"/>
  <c r="E27" i="3"/>
  <c r="K48" i="14"/>
  <c r="K54" i="14"/>
  <c r="C27" i="3"/>
  <c r="G27" i="3"/>
  <c r="E28" i="3"/>
  <c r="K48" i="7"/>
  <c r="K54" i="7"/>
  <c r="C28" i="3"/>
  <c r="G28" i="3"/>
  <c r="K48" i="56"/>
  <c r="K47" i="42"/>
  <c r="K48" i="42"/>
  <c r="K54" i="42"/>
  <c r="C31" i="3"/>
  <c r="E31" i="3"/>
  <c r="G31" i="3"/>
  <c r="N37" i="56"/>
  <c r="K37" i="56"/>
  <c r="I9" i="55"/>
  <c r="I20" i="55" s="1"/>
  <c r="J9" i="55"/>
  <c r="J20" i="55" s="1"/>
  <c r="K9" i="55"/>
  <c r="K20" i="55" s="1"/>
  <c r="L9" i="55"/>
  <c r="L20" i="55"/>
  <c r="L22" i="55"/>
  <c r="M9" i="55"/>
  <c r="M20" i="55"/>
  <c r="M22" i="55"/>
  <c r="N9" i="55"/>
  <c r="N20" i="55"/>
  <c r="N22" i="55"/>
  <c r="O9" i="55"/>
  <c r="O20" i="55"/>
  <c r="O22" i="55"/>
  <c r="P9" i="55"/>
  <c r="P20" i="55"/>
  <c r="P22" i="55"/>
  <c r="Q9" i="55"/>
  <c r="Q20" i="55"/>
  <c r="Q22" i="55"/>
  <c r="R9" i="55"/>
  <c r="R20" i="55"/>
  <c r="R22" i="55"/>
  <c r="S9" i="55"/>
  <c r="S20" i="55"/>
  <c r="S22" i="55"/>
  <c r="T9" i="55"/>
  <c r="T20" i="55"/>
  <c r="T22" i="55"/>
  <c r="U9" i="55"/>
  <c r="U20" i="55"/>
  <c r="U22" i="55"/>
  <c r="V9" i="55"/>
  <c r="V20" i="55"/>
  <c r="V22" i="55"/>
  <c r="W9" i="55"/>
  <c r="W20" i="55"/>
  <c r="W22" i="55"/>
  <c r="X9" i="55"/>
  <c r="X20" i="55"/>
  <c r="X22" i="55"/>
  <c r="Y9" i="55"/>
  <c r="Y20" i="55"/>
  <c r="Y22" i="55"/>
  <c r="Z9" i="55"/>
  <c r="Z20" i="55"/>
  <c r="Z22" i="55"/>
  <c r="AA9" i="55"/>
  <c r="AA20" i="55"/>
  <c r="AA22" i="55"/>
  <c r="V6" i="56"/>
  <c r="W6" i="56" s="1"/>
  <c r="N8" i="56"/>
  <c r="K8" i="56"/>
  <c r="N9" i="56"/>
  <c r="K9" i="56" s="1"/>
  <c r="N10" i="56"/>
  <c r="V10" i="56" s="1"/>
  <c r="W10" i="56" s="1"/>
  <c r="K10" i="56"/>
  <c r="N11" i="56"/>
  <c r="K11" i="56"/>
  <c r="N12" i="56"/>
  <c r="K12" i="56"/>
  <c r="N13" i="56"/>
  <c r="K13" i="56"/>
  <c r="N14" i="56"/>
  <c r="K14" i="56"/>
  <c r="N15" i="56"/>
  <c r="K15" i="56"/>
  <c r="N16" i="56"/>
  <c r="K16" i="56"/>
  <c r="N17" i="56"/>
  <c r="K17" i="56"/>
  <c r="N18" i="56"/>
  <c r="K18" i="56"/>
  <c r="N19" i="56"/>
  <c r="K19" i="56"/>
  <c r="N20" i="56"/>
  <c r="K20" i="56"/>
  <c r="N21" i="56"/>
  <c r="K21" i="56"/>
  <c r="N22" i="56"/>
  <c r="K22" i="56"/>
  <c r="N23" i="56"/>
  <c r="K23" i="56"/>
  <c r="N24" i="56"/>
  <c r="K24" i="56"/>
  <c r="N25" i="56"/>
  <c r="K25" i="56"/>
  <c r="N26" i="56"/>
  <c r="K26" i="56"/>
  <c r="L27" i="5"/>
  <c r="C15" i="3"/>
  <c r="C16" i="3"/>
  <c r="C17" i="3"/>
  <c r="C18" i="3"/>
  <c r="C56" i="39" s="1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I14" i="55"/>
  <c r="I15" i="55"/>
  <c r="J14" i="55"/>
  <c r="J15" i="55"/>
  <c r="K14" i="55"/>
  <c r="K15" i="55" s="1"/>
  <c r="K27" i="55" s="1"/>
  <c r="L14" i="55"/>
  <c r="L15" i="55"/>
  <c r="M14" i="55"/>
  <c r="M15" i="55"/>
  <c r="N14" i="55"/>
  <c r="N15" i="55"/>
  <c r="O14" i="55"/>
  <c r="O15" i="55"/>
  <c r="P14" i="55"/>
  <c r="P15" i="55"/>
  <c r="Q14" i="55"/>
  <c r="Q15" i="55"/>
  <c r="R14" i="55"/>
  <c r="R15" i="55"/>
  <c r="S14" i="55"/>
  <c r="S15" i="55"/>
  <c r="T14" i="55"/>
  <c r="T15" i="55"/>
  <c r="U14" i="55"/>
  <c r="U15" i="55"/>
  <c r="V14" i="55"/>
  <c r="V15" i="55"/>
  <c r="W14" i="55"/>
  <c r="W15" i="55"/>
  <c r="X14" i="55"/>
  <c r="X15" i="55"/>
  <c r="Y14" i="55"/>
  <c r="Y15" i="55"/>
  <c r="Z14" i="55"/>
  <c r="Z15" i="55"/>
  <c r="AA14" i="55"/>
  <c r="AA15" i="55"/>
  <c r="G44" i="6"/>
  <c r="C7" i="2"/>
  <c r="G20" i="17"/>
  <c r="C12" i="2"/>
  <c r="C11" i="2"/>
  <c r="G42" i="6"/>
  <c r="D7" i="2"/>
  <c r="D11" i="2"/>
  <c r="N50" i="56"/>
  <c r="K50" i="56"/>
  <c r="N51" i="56"/>
  <c r="K51" i="56"/>
  <c r="N52" i="56"/>
  <c r="K52" i="56"/>
  <c r="K53" i="56"/>
  <c r="N43" i="56"/>
  <c r="N47" i="56" s="1"/>
  <c r="N48" i="56"/>
  <c r="N53" i="56"/>
  <c r="L46" i="56"/>
  <c r="M46" i="56"/>
  <c r="K44" i="56"/>
  <c r="K45" i="56"/>
  <c r="N43" i="21"/>
  <c r="N79" i="21"/>
  <c r="N115" i="21"/>
  <c r="N150" i="21"/>
  <c r="N151" i="21"/>
  <c r="N177" i="21"/>
  <c r="N202" i="21"/>
  <c r="N203" i="21"/>
  <c r="N229" i="21"/>
  <c r="N254" i="21"/>
  <c r="N255" i="21"/>
  <c r="N281" i="21"/>
  <c r="N306" i="21"/>
  <c r="N307" i="21"/>
  <c r="N343" i="21"/>
  <c r="N344" i="21"/>
  <c r="N380" i="21"/>
  <c r="N415" i="21"/>
  <c r="N416" i="21"/>
  <c r="N454" i="21"/>
  <c r="N420" i="21"/>
  <c r="K422" i="21"/>
  <c r="N422" i="21"/>
  <c r="K423" i="21"/>
  <c r="N423" i="21"/>
  <c r="K424" i="21"/>
  <c r="N424" i="21"/>
  <c r="K425" i="21"/>
  <c r="N425" i="21"/>
  <c r="K426" i="21"/>
  <c r="N426" i="21"/>
  <c r="K427" i="21"/>
  <c r="N427" i="21"/>
  <c r="K428" i="21"/>
  <c r="N428" i="21"/>
  <c r="K429" i="21"/>
  <c r="N429" i="21"/>
  <c r="K430" i="21"/>
  <c r="N430" i="21"/>
  <c r="K431" i="21"/>
  <c r="N431" i="21"/>
  <c r="K432" i="21"/>
  <c r="N432" i="21"/>
  <c r="K433" i="21"/>
  <c r="N433" i="21"/>
  <c r="K434" i="21"/>
  <c r="N434" i="21"/>
  <c r="K435" i="21"/>
  <c r="N435" i="21"/>
  <c r="K436" i="21"/>
  <c r="N436" i="21"/>
  <c r="K437" i="21"/>
  <c r="N437" i="21"/>
  <c r="K438" i="21"/>
  <c r="N438" i="21"/>
  <c r="K439" i="21"/>
  <c r="N439" i="21"/>
  <c r="K440" i="21"/>
  <c r="N440" i="21"/>
  <c r="K441" i="21"/>
  <c r="N441" i="21"/>
  <c r="K442" i="21"/>
  <c r="N442" i="21"/>
  <c r="K443" i="21"/>
  <c r="N443" i="21"/>
  <c r="K444" i="21"/>
  <c r="N444" i="21"/>
  <c r="K445" i="21"/>
  <c r="N445" i="21"/>
  <c r="K446" i="21"/>
  <c r="N446" i="21"/>
  <c r="K447" i="21"/>
  <c r="N447" i="21"/>
  <c r="K448" i="21"/>
  <c r="N448" i="21"/>
  <c r="K449" i="21"/>
  <c r="N449" i="21"/>
  <c r="K450" i="21"/>
  <c r="N450" i="21"/>
  <c r="K451" i="21"/>
  <c r="N451" i="21"/>
  <c r="N452" i="21"/>
  <c r="M420" i="21"/>
  <c r="M422" i="21"/>
  <c r="M423" i="21"/>
  <c r="M424" i="21"/>
  <c r="M425" i="21"/>
  <c r="M426" i="21"/>
  <c r="M427" i="21"/>
  <c r="M428" i="21"/>
  <c r="M429" i="21"/>
  <c r="M430" i="21"/>
  <c r="M431" i="21"/>
  <c r="M432" i="21"/>
  <c r="M433" i="21"/>
  <c r="M434" i="21"/>
  <c r="M435" i="21"/>
  <c r="M436" i="21"/>
  <c r="M437" i="21"/>
  <c r="M438" i="21"/>
  <c r="M439" i="21"/>
  <c r="M440" i="21"/>
  <c r="M441" i="21"/>
  <c r="M442" i="21"/>
  <c r="M443" i="21"/>
  <c r="M444" i="21"/>
  <c r="M445" i="21"/>
  <c r="M446" i="21"/>
  <c r="M447" i="21"/>
  <c r="M448" i="21"/>
  <c r="M449" i="21"/>
  <c r="M450" i="21"/>
  <c r="M451" i="21"/>
  <c r="M452" i="21"/>
  <c r="K465" i="21"/>
  <c r="N465" i="21"/>
  <c r="M465" i="21"/>
  <c r="K466" i="21"/>
  <c r="N466" i="21"/>
  <c r="M466" i="21"/>
  <c r="K467" i="21"/>
  <c r="N467" i="21"/>
  <c r="M467" i="21"/>
  <c r="K468" i="21"/>
  <c r="N468" i="21"/>
  <c r="M468" i="21"/>
  <c r="K469" i="21"/>
  <c r="N469" i="21"/>
  <c r="M469" i="21"/>
  <c r="K470" i="21"/>
  <c r="N470" i="21"/>
  <c r="M470" i="21"/>
  <c r="K471" i="21"/>
  <c r="N471" i="21"/>
  <c r="M471" i="21"/>
  <c r="K472" i="21"/>
  <c r="N472" i="21"/>
  <c r="M472" i="21"/>
  <c r="K473" i="21"/>
  <c r="N473" i="21"/>
  <c r="M473" i="21"/>
  <c r="K474" i="21"/>
  <c r="N474" i="21"/>
  <c r="M474" i="21"/>
  <c r="M475" i="21"/>
  <c r="N475" i="21"/>
  <c r="K478" i="21"/>
  <c r="N478" i="21"/>
  <c r="M478" i="21"/>
  <c r="K479" i="21"/>
  <c r="N479" i="21"/>
  <c r="M479" i="21"/>
  <c r="K480" i="21"/>
  <c r="N480" i="21"/>
  <c r="M480" i="21"/>
  <c r="K481" i="21"/>
  <c r="N481" i="21"/>
  <c r="M481" i="21"/>
  <c r="K482" i="21"/>
  <c r="N482" i="21"/>
  <c r="M482" i="21"/>
  <c r="K483" i="21"/>
  <c r="N483" i="21"/>
  <c r="M483" i="21"/>
  <c r="K484" i="21"/>
  <c r="N484" i="21"/>
  <c r="M484" i="21"/>
  <c r="K485" i="21"/>
  <c r="N485" i="21"/>
  <c r="M485" i="21"/>
  <c r="K486" i="21"/>
  <c r="N486" i="21"/>
  <c r="M486" i="21"/>
  <c r="K487" i="21"/>
  <c r="N487" i="21"/>
  <c r="M487" i="21"/>
  <c r="M488" i="21"/>
  <c r="N488" i="21"/>
  <c r="M489" i="21"/>
  <c r="N489" i="21"/>
  <c r="K493" i="21"/>
  <c r="N493" i="21"/>
  <c r="M493" i="21"/>
  <c r="K494" i="21"/>
  <c r="N494" i="21"/>
  <c r="M494" i="21"/>
  <c r="K495" i="21"/>
  <c r="N495" i="21"/>
  <c r="M495" i="21"/>
  <c r="K496" i="21"/>
  <c r="N496" i="21"/>
  <c r="M496" i="21"/>
  <c r="K497" i="21"/>
  <c r="N497" i="21"/>
  <c r="M497" i="21"/>
  <c r="K498" i="21"/>
  <c r="N498" i="21"/>
  <c r="M498" i="21"/>
  <c r="K499" i="21"/>
  <c r="N499" i="21"/>
  <c r="M499" i="21"/>
  <c r="K500" i="21"/>
  <c r="N500" i="21"/>
  <c r="M500" i="21"/>
  <c r="K501" i="21"/>
  <c r="N501" i="21"/>
  <c r="M501" i="21"/>
  <c r="K502" i="21"/>
  <c r="N502" i="21"/>
  <c r="M502" i="21"/>
  <c r="M503" i="21"/>
  <c r="N503" i="21"/>
  <c r="K506" i="21"/>
  <c r="N506" i="21"/>
  <c r="M506" i="21"/>
  <c r="K507" i="21"/>
  <c r="N507" i="21"/>
  <c r="M507" i="21"/>
  <c r="K508" i="21"/>
  <c r="N508" i="21"/>
  <c r="M508" i="21"/>
  <c r="K509" i="21"/>
  <c r="N509" i="21"/>
  <c r="M509" i="21"/>
  <c r="K510" i="21"/>
  <c r="N510" i="21"/>
  <c r="M510" i="21"/>
  <c r="K511" i="21"/>
  <c r="N511" i="21"/>
  <c r="M511" i="21"/>
  <c r="K512" i="21"/>
  <c r="N512" i="21"/>
  <c r="M512" i="21"/>
  <c r="K513" i="21"/>
  <c r="N513" i="21"/>
  <c r="M513" i="21"/>
  <c r="K514" i="21"/>
  <c r="N514" i="21"/>
  <c r="M514" i="21"/>
  <c r="K515" i="21"/>
  <c r="N515" i="21"/>
  <c r="M515" i="21"/>
  <c r="M516" i="21"/>
  <c r="N516" i="21"/>
  <c r="M517" i="21"/>
  <c r="N517" i="21"/>
  <c r="K521" i="21"/>
  <c r="N521" i="21"/>
  <c r="M521" i="21"/>
  <c r="K522" i="21"/>
  <c r="N522" i="21"/>
  <c r="M522" i="21"/>
  <c r="K523" i="21"/>
  <c r="N523" i="21"/>
  <c r="M523" i="21"/>
  <c r="N61" i="56"/>
  <c r="N62" i="56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4" i="56"/>
  <c r="N86" i="56"/>
  <c r="N87" i="56"/>
  <c r="N88" i="56"/>
  <c r="N89" i="56"/>
  <c r="N90" i="56"/>
  <c r="N91" i="56"/>
  <c r="N92" i="56"/>
  <c r="N94" i="56"/>
  <c r="N96" i="56"/>
  <c r="N97" i="56"/>
  <c r="N98" i="56"/>
  <c r="N99" i="56"/>
  <c r="N100" i="56"/>
  <c r="N101" i="56"/>
  <c r="N104" i="56"/>
  <c r="N106" i="56"/>
  <c r="N107" i="56"/>
  <c r="N108" i="56"/>
  <c r="N109" i="56"/>
  <c r="N111" i="56"/>
  <c r="N112" i="56"/>
  <c r="N113" i="56"/>
  <c r="N114" i="56"/>
  <c r="N115" i="56"/>
  <c r="N116" i="56"/>
  <c r="N118" i="56"/>
  <c r="N119" i="56"/>
  <c r="N120" i="56"/>
  <c r="N121" i="56"/>
  <c r="N122" i="56"/>
  <c r="N123" i="56"/>
  <c r="M82" i="56"/>
  <c r="M91" i="56"/>
  <c r="M92" i="56"/>
  <c r="M99" i="56"/>
  <c r="M100" i="56"/>
  <c r="M101" i="56"/>
  <c r="M109" i="56"/>
  <c r="M114" i="56"/>
  <c r="M115" i="56"/>
  <c r="M116" i="56"/>
  <c r="M121" i="56"/>
  <c r="M122" i="56"/>
  <c r="M123" i="56"/>
  <c r="L82" i="56"/>
  <c r="L91" i="56"/>
  <c r="L92" i="56"/>
  <c r="L99" i="56"/>
  <c r="L100" i="56"/>
  <c r="L101" i="56"/>
  <c r="L109" i="56"/>
  <c r="L114" i="56"/>
  <c r="L115" i="56"/>
  <c r="L116" i="56"/>
  <c r="L121" i="56"/>
  <c r="L122" i="56"/>
  <c r="L123" i="56"/>
  <c r="K61" i="56"/>
  <c r="K62" i="56"/>
  <c r="K63" i="56"/>
  <c r="K64" i="56"/>
  <c r="K65" i="56"/>
  <c r="K66" i="56"/>
  <c r="K67" i="56"/>
  <c r="K68" i="56"/>
  <c r="K69" i="56"/>
  <c r="K70" i="56"/>
  <c r="K71" i="56"/>
  <c r="K72" i="56"/>
  <c r="K73" i="56"/>
  <c r="K74" i="56"/>
  <c r="K75" i="56"/>
  <c r="K76" i="56"/>
  <c r="K77" i="56"/>
  <c r="K78" i="56"/>
  <c r="K79" i="56"/>
  <c r="K80" i="56"/>
  <c r="K81" i="56"/>
  <c r="K82" i="56"/>
  <c r="K86" i="56"/>
  <c r="K87" i="56"/>
  <c r="K88" i="56"/>
  <c r="K89" i="56"/>
  <c r="K90" i="56"/>
  <c r="K91" i="56"/>
  <c r="K92" i="56"/>
  <c r="K96" i="56"/>
  <c r="K97" i="56"/>
  <c r="K98" i="56"/>
  <c r="K99" i="56"/>
  <c r="K100" i="56"/>
  <c r="K101" i="56"/>
  <c r="K106" i="56"/>
  <c r="K107" i="56"/>
  <c r="K108" i="56"/>
  <c r="K109" i="56"/>
  <c r="K111" i="56"/>
  <c r="K112" i="56"/>
  <c r="K113" i="56"/>
  <c r="K114" i="56"/>
  <c r="K115" i="56"/>
  <c r="K116" i="56"/>
  <c r="K118" i="56"/>
  <c r="K119" i="56"/>
  <c r="K120" i="56"/>
  <c r="K121" i="56"/>
  <c r="K122" i="56"/>
  <c r="K123" i="56"/>
  <c r="V85" i="56"/>
  <c r="R85" i="56"/>
  <c r="V84" i="56"/>
  <c r="R84" i="56"/>
  <c r="Y61" i="56"/>
  <c r="Y62" i="56"/>
  <c r="Y63" i="56"/>
  <c r="Y64" i="56"/>
  <c r="Y65" i="56"/>
  <c r="Y66" i="56"/>
  <c r="Y67" i="56"/>
  <c r="Y68" i="56"/>
  <c r="Y69" i="56"/>
  <c r="Y70" i="56"/>
  <c r="Y71" i="56"/>
  <c r="Y72" i="56"/>
  <c r="Y73" i="56"/>
  <c r="Y74" i="56"/>
  <c r="Y75" i="56"/>
  <c r="Y76" i="56"/>
  <c r="Y77" i="56"/>
  <c r="Y78" i="56"/>
  <c r="Y79" i="56"/>
  <c r="Y80" i="56"/>
  <c r="Y81" i="56"/>
  <c r="Y82" i="56"/>
  <c r="X61" i="56"/>
  <c r="X62" i="56"/>
  <c r="X63" i="56"/>
  <c r="X64" i="56"/>
  <c r="X65" i="56"/>
  <c r="X66" i="56"/>
  <c r="X67" i="56"/>
  <c r="X68" i="56"/>
  <c r="X69" i="56"/>
  <c r="X70" i="56"/>
  <c r="X71" i="56"/>
  <c r="X72" i="56"/>
  <c r="X73" i="56"/>
  <c r="X74" i="56"/>
  <c r="X75" i="56"/>
  <c r="X76" i="56"/>
  <c r="X77" i="56"/>
  <c r="X78" i="56"/>
  <c r="X79" i="56"/>
  <c r="X80" i="56"/>
  <c r="X81" i="56"/>
  <c r="X82" i="56"/>
  <c r="V81" i="56"/>
  <c r="W81" i="56"/>
  <c r="Q81" i="56"/>
  <c r="V80" i="56"/>
  <c r="W80" i="56"/>
  <c r="Q80" i="56"/>
  <c r="P80" i="56"/>
  <c r="V79" i="56"/>
  <c r="W79" i="56"/>
  <c r="Q79" i="56"/>
  <c r="P79" i="56"/>
  <c r="V78" i="56"/>
  <c r="W78" i="56"/>
  <c r="Q78" i="56"/>
  <c r="P78" i="56"/>
  <c r="V77" i="56"/>
  <c r="W77" i="56"/>
  <c r="Q77" i="56"/>
  <c r="P77" i="56"/>
  <c r="V76" i="56"/>
  <c r="W76" i="56"/>
  <c r="Q76" i="56"/>
  <c r="P76" i="56"/>
  <c r="V75" i="56"/>
  <c r="W75" i="56"/>
  <c r="Q75" i="56"/>
  <c r="P75" i="56"/>
  <c r="V74" i="56"/>
  <c r="W74" i="56"/>
  <c r="Q74" i="56"/>
  <c r="P74" i="56"/>
  <c r="V73" i="56"/>
  <c r="W73" i="56"/>
  <c r="Q73" i="56"/>
  <c r="P73" i="56"/>
  <c r="V72" i="56"/>
  <c r="W72" i="56"/>
  <c r="Q72" i="56"/>
  <c r="P72" i="56"/>
  <c r="V71" i="56"/>
  <c r="W71" i="56"/>
  <c r="Q71" i="56"/>
  <c r="P71" i="56"/>
  <c r="V70" i="56"/>
  <c r="W70" i="56"/>
  <c r="Q70" i="56"/>
  <c r="P70" i="56"/>
  <c r="V69" i="56"/>
  <c r="W69" i="56"/>
  <c r="Q69" i="56"/>
  <c r="P69" i="56"/>
  <c r="V68" i="56"/>
  <c r="W68" i="56"/>
  <c r="Q68" i="56"/>
  <c r="P68" i="56"/>
  <c r="V67" i="56"/>
  <c r="W67" i="56"/>
  <c r="Q67" i="56"/>
  <c r="P67" i="56"/>
  <c r="V66" i="56"/>
  <c r="W66" i="56"/>
  <c r="Q66" i="56"/>
  <c r="P66" i="56"/>
  <c r="V65" i="56"/>
  <c r="W65" i="56"/>
  <c r="Q65" i="56"/>
  <c r="P65" i="56"/>
  <c r="V64" i="56"/>
  <c r="W64" i="56"/>
  <c r="Q64" i="56"/>
  <c r="P64" i="56"/>
  <c r="V63" i="56"/>
  <c r="W63" i="56"/>
  <c r="Q63" i="56"/>
  <c r="P63" i="56"/>
  <c r="V62" i="56"/>
  <c r="W62" i="56"/>
  <c r="Q62" i="56"/>
  <c r="P62" i="56"/>
  <c r="V61" i="56"/>
  <c r="W61" i="56"/>
  <c r="Q61" i="56"/>
  <c r="P61" i="56"/>
  <c r="P60" i="56"/>
  <c r="P57" i="56"/>
  <c r="N31" i="56"/>
  <c r="K31" i="56" s="1"/>
  <c r="K38" i="56" s="1"/>
  <c r="E8" i="3" s="1"/>
  <c r="C8" i="3" s="1"/>
  <c r="C48" i="39" s="1"/>
  <c r="N32" i="56"/>
  <c r="N33" i="56"/>
  <c r="N34" i="56"/>
  <c r="N35" i="56"/>
  <c r="N36" i="56"/>
  <c r="N38" i="56"/>
  <c r="M27" i="56"/>
  <c r="M38" i="56"/>
  <c r="M39" i="56"/>
  <c r="M53" i="56"/>
  <c r="M54" i="56"/>
  <c r="M55" i="56"/>
  <c r="L27" i="56"/>
  <c r="L38" i="56"/>
  <c r="L39" i="56"/>
  <c r="L53" i="56"/>
  <c r="L54" i="56"/>
  <c r="L55" i="56"/>
  <c r="K32" i="56"/>
  <c r="K33" i="56"/>
  <c r="K34" i="56"/>
  <c r="K35" i="56"/>
  <c r="K36" i="56"/>
  <c r="V26" i="56"/>
  <c r="W26" i="56"/>
  <c r="Q26" i="56"/>
  <c r="V25" i="56"/>
  <c r="W25" i="56"/>
  <c r="Q25" i="56"/>
  <c r="P25" i="56"/>
  <c r="V24" i="56"/>
  <c r="W24" i="56"/>
  <c r="Q24" i="56"/>
  <c r="P24" i="56"/>
  <c r="V23" i="56"/>
  <c r="W23" i="56"/>
  <c r="Q23" i="56"/>
  <c r="P23" i="56"/>
  <c r="V22" i="56"/>
  <c r="W22" i="56"/>
  <c r="Q22" i="56"/>
  <c r="P22" i="56"/>
  <c r="V21" i="56"/>
  <c r="W21" i="56"/>
  <c r="Q21" i="56"/>
  <c r="P21" i="56"/>
  <c r="V20" i="56"/>
  <c r="W20" i="56"/>
  <c r="Q20" i="56"/>
  <c r="P20" i="56"/>
  <c r="V19" i="56"/>
  <c r="W19" i="56"/>
  <c r="Q19" i="56"/>
  <c r="P19" i="56"/>
  <c r="V18" i="56"/>
  <c r="W18" i="56"/>
  <c r="Q18" i="56"/>
  <c r="P18" i="56"/>
  <c r="V17" i="56"/>
  <c r="W17" i="56"/>
  <c r="Q17" i="56"/>
  <c r="P17" i="56"/>
  <c r="V16" i="56"/>
  <c r="W16" i="56"/>
  <c r="Q16" i="56"/>
  <c r="P16" i="56"/>
  <c r="V15" i="56"/>
  <c r="W15" i="56"/>
  <c r="Q15" i="56"/>
  <c r="P15" i="56"/>
  <c r="V14" i="56"/>
  <c r="W14" i="56"/>
  <c r="Q14" i="56"/>
  <c r="P14" i="56"/>
  <c r="V13" i="56"/>
  <c r="W13" i="56"/>
  <c r="Q13" i="56"/>
  <c r="P13" i="56"/>
  <c r="V12" i="56"/>
  <c r="W12" i="56"/>
  <c r="Q12" i="56"/>
  <c r="P12" i="56"/>
  <c r="V11" i="56"/>
  <c r="W11" i="56" s="1"/>
  <c r="Q11" i="56"/>
  <c r="P11" i="56"/>
  <c r="Q10" i="56"/>
  <c r="P10" i="56"/>
  <c r="Q9" i="56"/>
  <c r="P9" i="56"/>
  <c r="V8" i="56"/>
  <c r="W8" i="56" s="1"/>
  <c r="P8" i="56"/>
  <c r="Q7" i="56"/>
  <c r="P7" i="56"/>
  <c r="Q6" i="56"/>
  <c r="P6" i="56"/>
  <c r="P5" i="56"/>
  <c r="P2" i="56"/>
  <c r="G19" i="55"/>
  <c r="G18" i="55"/>
  <c r="G17" i="55"/>
  <c r="G13" i="55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H60" i="17"/>
  <c r="I54" i="17"/>
  <c r="A6" i="53"/>
  <c r="A7" i="53"/>
  <c r="A8" i="53"/>
  <c r="A10" i="53"/>
  <c r="B2" i="53"/>
  <c r="E45" i="52"/>
  <c r="D2" i="53"/>
  <c r="B3" i="53"/>
  <c r="D3" i="53"/>
  <c r="B4" i="53"/>
  <c r="O10" i="52"/>
  <c r="O11" i="52"/>
  <c r="O12" i="52"/>
  <c r="O13" i="52"/>
  <c r="O14" i="52"/>
  <c r="O15" i="52"/>
  <c r="O16" i="52"/>
  <c r="O17" i="52"/>
  <c r="O18" i="52"/>
  <c r="O19" i="52"/>
  <c r="O20" i="52"/>
  <c r="O21" i="52"/>
  <c r="C4" i="53"/>
  <c r="D4" i="53"/>
  <c r="B5" i="53"/>
  <c r="T10" i="52"/>
  <c r="T11" i="52"/>
  <c r="T12" i="52"/>
  <c r="T13" i="52"/>
  <c r="T14" i="52"/>
  <c r="T15" i="52"/>
  <c r="T16" i="52"/>
  <c r="T17" i="52"/>
  <c r="T18" i="52"/>
  <c r="T19" i="52"/>
  <c r="T20" i="52"/>
  <c r="T21" i="52"/>
  <c r="C5" i="53"/>
  <c r="D5" i="53"/>
  <c r="B6" i="53"/>
  <c r="Y10" i="52"/>
  <c r="Y11" i="52"/>
  <c r="Y12" i="52"/>
  <c r="Y13" i="52"/>
  <c r="Y14" i="52"/>
  <c r="Y15" i="52"/>
  <c r="Y16" i="52"/>
  <c r="Y17" i="52"/>
  <c r="Y18" i="52"/>
  <c r="Y19" i="52"/>
  <c r="Y20" i="52"/>
  <c r="Y21" i="52"/>
  <c r="C6" i="53"/>
  <c r="D6" i="53"/>
  <c r="B7" i="53"/>
  <c r="AD10" i="52"/>
  <c r="AD11" i="52"/>
  <c r="AD12" i="52"/>
  <c r="AD13" i="52"/>
  <c r="AD14" i="52"/>
  <c r="AD15" i="52"/>
  <c r="AD16" i="52"/>
  <c r="AD17" i="52"/>
  <c r="AD18" i="52"/>
  <c r="AD19" i="52"/>
  <c r="AD20" i="52"/>
  <c r="AD21" i="52"/>
  <c r="C7" i="53"/>
  <c r="D7" i="53"/>
  <c r="B8" i="53"/>
  <c r="AI10" i="52"/>
  <c r="AI11" i="52"/>
  <c r="AI12" i="52"/>
  <c r="AI13" i="52"/>
  <c r="AI14" i="52"/>
  <c r="AI15" i="52"/>
  <c r="AI16" i="52"/>
  <c r="AI17" i="52"/>
  <c r="AI18" i="52"/>
  <c r="AI19" i="52"/>
  <c r="AI20" i="52"/>
  <c r="AI21" i="52"/>
  <c r="C8" i="53"/>
  <c r="D8" i="53"/>
  <c r="B9" i="53"/>
  <c r="AN10" i="52"/>
  <c r="AN11" i="52"/>
  <c r="AN12" i="52"/>
  <c r="AN13" i="52"/>
  <c r="AN14" i="52"/>
  <c r="AN15" i="52"/>
  <c r="AN16" i="52"/>
  <c r="AN17" i="52"/>
  <c r="AN18" i="52"/>
  <c r="AN19" i="52"/>
  <c r="AN20" i="52"/>
  <c r="AN21" i="52"/>
  <c r="C9" i="53"/>
  <c r="D9" i="53"/>
  <c r="B10" i="53"/>
  <c r="AS10" i="52"/>
  <c r="AS11" i="52"/>
  <c r="AS12" i="52"/>
  <c r="AS13" i="52"/>
  <c r="AS14" i="52"/>
  <c r="AS15" i="52"/>
  <c r="AS16" i="52"/>
  <c r="AS17" i="52"/>
  <c r="AS18" i="52"/>
  <c r="AS19" i="52"/>
  <c r="AS20" i="52"/>
  <c r="AS21" i="52"/>
  <c r="C10" i="53"/>
  <c r="D10" i="53"/>
  <c r="A11" i="53"/>
  <c r="B11" i="53"/>
  <c r="AX10" i="52"/>
  <c r="AX11" i="52"/>
  <c r="AX12" i="52"/>
  <c r="AX13" i="52"/>
  <c r="AX14" i="52"/>
  <c r="AX15" i="52"/>
  <c r="AX16" i="52"/>
  <c r="AX17" i="52"/>
  <c r="AX18" i="52"/>
  <c r="AX19" i="52"/>
  <c r="AX20" i="52"/>
  <c r="AX21" i="52"/>
  <c r="C11" i="53"/>
  <c r="D11" i="53"/>
  <c r="B12" i="53"/>
  <c r="BC10" i="52"/>
  <c r="BC11" i="52"/>
  <c r="BC12" i="52"/>
  <c r="BC13" i="52"/>
  <c r="BC14" i="52"/>
  <c r="BC15" i="52"/>
  <c r="BC16" i="52"/>
  <c r="BC17" i="52"/>
  <c r="BC18" i="52"/>
  <c r="BC19" i="52"/>
  <c r="BC20" i="52"/>
  <c r="BC21" i="52"/>
  <c r="C12" i="53"/>
  <c r="D12" i="53"/>
  <c r="A13" i="53"/>
  <c r="B13" i="53"/>
  <c r="BH10" i="52"/>
  <c r="BH11" i="52"/>
  <c r="BH12" i="52"/>
  <c r="BH13" i="52"/>
  <c r="BH14" i="52"/>
  <c r="BH15" i="52"/>
  <c r="BH16" i="52"/>
  <c r="BH17" i="52"/>
  <c r="BH18" i="52"/>
  <c r="BH19" i="52"/>
  <c r="BH20" i="52"/>
  <c r="BH21" i="52"/>
  <c r="C13" i="53"/>
  <c r="D13" i="53"/>
  <c r="A14" i="53"/>
  <c r="B14" i="53"/>
  <c r="BM10" i="52"/>
  <c r="BM11" i="52"/>
  <c r="BM12" i="52"/>
  <c r="BM13" i="52"/>
  <c r="BM14" i="52"/>
  <c r="BM15" i="52"/>
  <c r="BM16" i="52"/>
  <c r="BM17" i="52"/>
  <c r="BM18" i="52"/>
  <c r="BM19" i="52"/>
  <c r="BM20" i="52"/>
  <c r="BM21" i="52"/>
  <c r="C14" i="53"/>
  <c r="D14" i="53"/>
  <c r="A15" i="53"/>
  <c r="B15" i="53"/>
  <c r="BR10" i="52"/>
  <c r="BR11" i="52"/>
  <c r="BR12" i="52"/>
  <c r="BR13" i="52"/>
  <c r="BR14" i="52"/>
  <c r="BR15" i="52"/>
  <c r="BR16" i="52"/>
  <c r="BR17" i="52"/>
  <c r="BR18" i="52"/>
  <c r="BR19" i="52"/>
  <c r="BR20" i="52"/>
  <c r="BR21" i="52"/>
  <c r="C15" i="53"/>
  <c r="D15" i="53"/>
  <c r="A16" i="53"/>
  <c r="B16" i="53"/>
  <c r="BW10" i="52"/>
  <c r="BW11" i="52"/>
  <c r="BW12" i="52"/>
  <c r="BW13" i="52"/>
  <c r="BW14" i="52"/>
  <c r="BW15" i="52"/>
  <c r="BW16" i="52"/>
  <c r="BW17" i="52"/>
  <c r="BW18" i="52"/>
  <c r="BW19" i="52"/>
  <c r="BW20" i="52"/>
  <c r="BW21" i="52"/>
  <c r="C16" i="53"/>
  <c r="D16" i="53"/>
  <c r="A17" i="53"/>
  <c r="B17" i="53"/>
  <c r="CB10" i="52"/>
  <c r="CB11" i="52"/>
  <c r="CB12" i="52"/>
  <c r="CB13" i="52"/>
  <c r="CB14" i="52"/>
  <c r="CB15" i="52"/>
  <c r="CB16" i="52"/>
  <c r="CB17" i="52"/>
  <c r="CB18" i="52"/>
  <c r="CB19" i="52"/>
  <c r="CB20" i="52"/>
  <c r="CB21" i="52"/>
  <c r="C17" i="53"/>
  <c r="D17" i="53"/>
  <c r="A18" i="53"/>
  <c r="B18" i="53"/>
  <c r="CG10" i="52"/>
  <c r="CG11" i="52"/>
  <c r="CG12" i="52"/>
  <c r="CG13" i="52"/>
  <c r="CG14" i="52"/>
  <c r="CG15" i="52"/>
  <c r="CG16" i="52"/>
  <c r="CG17" i="52"/>
  <c r="CG18" i="52"/>
  <c r="CG19" i="52"/>
  <c r="CG20" i="52"/>
  <c r="CG21" i="52"/>
  <c r="C18" i="53"/>
  <c r="D18" i="53"/>
  <c r="A19" i="53"/>
  <c r="B19" i="53"/>
  <c r="CL10" i="52"/>
  <c r="CL11" i="52"/>
  <c r="CL12" i="52"/>
  <c r="CL13" i="52"/>
  <c r="CL14" i="52"/>
  <c r="CL15" i="52"/>
  <c r="CL16" i="52"/>
  <c r="CL17" i="52"/>
  <c r="CL18" i="52"/>
  <c r="CL19" i="52"/>
  <c r="CL20" i="52"/>
  <c r="CL21" i="52"/>
  <c r="C19" i="53"/>
  <c r="D19" i="53"/>
  <c r="A20" i="53"/>
  <c r="B20" i="53"/>
  <c r="CQ10" i="52"/>
  <c r="CQ11" i="52"/>
  <c r="CQ12" i="52"/>
  <c r="CQ13" i="52"/>
  <c r="CQ14" i="52"/>
  <c r="CQ15" i="52"/>
  <c r="CQ16" i="52"/>
  <c r="CQ17" i="52"/>
  <c r="CQ18" i="52"/>
  <c r="CQ19" i="52"/>
  <c r="CQ20" i="52"/>
  <c r="CQ21" i="52"/>
  <c r="C20" i="53"/>
  <c r="D20" i="53"/>
  <c r="A21" i="53"/>
  <c r="B21" i="53"/>
  <c r="CV10" i="52"/>
  <c r="CV11" i="52"/>
  <c r="CV12" i="52"/>
  <c r="CV13" i="52"/>
  <c r="CV14" i="52"/>
  <c r="CV15" i="52"/>
  <c r="CV16" i="52"/>
  <c r="CV17" i="52"/>
  <c r="CV18" i="52"/>
  <c r="CV19" i="52"/>
  <c r="CV20" i="52"/>
  <c r="CV21" i="52"/>
  <c r="C21" i="53"/>
  <c r="D21" i="53"/>
  <c r="I61" i="17"/>
  <c r="J54" i="17"/>
  <c r="J61" i="17"/>
  <c r="K54" i="17"/>
  <c r="K61" i="17"/>
  <c r="L54" i="17"/>
  <c r="L61" i="17"/>
  <c r="M54" i="17"/>
  <c r="M61" i="17"/>
  <c r="N54" i="17"/>
  <c r="N61" i="17"/>
  <c r="O54" i="17"/>
  <c r="O61" i="17"/>
  <c r="P54" i="17"/>
  <c r="P61" i="17"/>
  <c r="Q54" i="17"/>
  <c r="Q61" i="17"/>
  <c r="R54" i="17"/>
  <c r="R61" i="17"/>
  <c r="S54" i="17"/>
  <c r="S61" i="17"/>
  <c r="T54" i="17"/>
  <c r="T61" i="17"/>
  <c r="U54" i="17"/>
  <c r="U61" i="17"/>
  <c r="V54" i="17"/>
  <c r="V61" i="17"/>
  <c r="W54" i="17"/>
  <c r="W61" i="17"/>
  <c r="X54" i="17"/>
  <c r="X61" i="17"/>
  <c r="Y54" i="17"/>
  <c r="Y61" i="17"/>
  <c r="Z54" i="17"/>
  <c r="Z61" i="17"/>
  <c r="AA54" i="17"/>
  <c r="AA61" i="17"/>
  <c r="E2" i="53"/>
  <c r="F2" i="53"/>
  <c r="H54" i="17"/>
  <c r="H61" i="17"/>
  <c r="E22" i="52"/>
  <c r="E43" i="52"/>
  <c r="D22" i="52"/>
  <c r="E44" i="52"/>
  <c r="E3" i="53"/>
  <c r="F3" i="53"/>
  <c r="E4" i="53"/>
  <c r="F4" i="53"/>
  <c r="E5" i="53"/>
  <c r="F5" i="53"/>
  <c r="E6" i="53"/>
  <c r="F6" i="53"/>
  <c r="E7" i="53"/>
  <c r="F7" i="53"/>
  <c r="E8" i="53"/>
  <c r="F8" i="53"/>
  <c r="E9" i="53"/>
  <c r="F9" i="53"/>
  <c r="E10" i="53"/>
  <c r="F10" i="53"/>
  <c r="E11" i="53"/>
  <c r="F11" i="53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I57" i="17"/>
  <c r="J22" i="52"/>
  <c r="I55" i="17"/>
  <c r="I56" i="17"/>
  <c r="I58" i="17"/>
  <c r="T22" i="52"/>
  <c r="J55" i="17"/>
  <c r="J56" i="17"/>
  <c r="J57" i="17"/>
  <c r="J58" i="17"/>
  <c r="K55" i="17"/>
  <c r="K56" i="17"/>
  <c r="K57" i="17"/>
  <c r="K58" i="17"/>
  <c r="L55" i="17"/>
  <c r="L56" i="17"/>
  <c r="L57" i="17"/>
  <c r="L58" i="17"/>
  <c r="M55" i="17"/>
  <c r="M56" i="17"/>
  <c r="M57" i="17"/>
  <c r="M58" i="17"/>
  <c r="N55" i="17"/>
  <c r="N56" i="17"/>
  <c r="N57" i="17"/>
  <c r="N58" i="17"/>
  <c r="O55" i="17"/>
  <c r="O56" i="17"/>
  <c r="O57" i="17"/>
  <c r="O58" i="17"/>
  <c r="P55" i="17"/>
  <c r="P56" i="17"/>
  <c r="P57" i="17"/>
  <c r="P58" i="17"/>
  <c r="Q55" i="17"/>
  <c r="Q56" i="17"/>
  <c r="Q57" i="17"/>
  <c r="Q58" i="17"/>
  <c r="R55" i="17"/>
  <c r="R56" i="17"/>
  <c r="R57" i="17"/>
  <c r="R58" i="17"/>
  <c r="S55" i="17"/>
  <c r="S56" i="17"/>
  <c r="S57" i="17"/>
  <c r="S58" i="17"/>
  <c r="T55" i="17"/>
  <c r="T56" i="17"/>
  <c r="T57" i="17"/>
  <c r="T58" i="17"/>
  <c r="U55" i="17"/>
  <c r="U56" i="17"/>
  <c r="U57" i="17"/>
  <c r="U58" i="17"/>
  <c r="V55" i="17"/>
  <c r="V56" i="17"/>
  <c r="V57" i="17"/>
  <c r="V58" i="17"/>
  <c r="W55" i="17"/>
  <c r="W56" i="17"/>
  <c r="W57" i="17"/>
  <c r="W58" i="17"/>
  <c r="X55" i="17"/>
  <c r="X56" i="17"/>
  <c r="X57" i="17"/>
  <c r="X58" i="17"/>
  <c r="Y55" i="17"/>
  <c r="Y56" i="17"/>
  <c r="Y57" i="17"/>
  <c r="Y58" i="17"/>
  <c r="Z55" i="17"/>
  <c r="Z56" i="17"/>
  <c r="Z57" i="17"/>
  <c r="Z58" i="17"/>
  <c r="AA55" i="17"/>
  <c r="AA56" i="17"/>
  <c r="AA57" i="17"/>
  <c r="AA58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H59" i="17"/>
  <c r="N6" i="16"/>
  <c r="K6" i="16" s="1"/>
  <c r="N10" i="16"/>
  <c r="K10" i="16"/>
  <c r="N11" i="16"/>
  <c r="K11" i="16"/>
  <c r="N12" i="16"/>
  <c r="K12" i="16"/>
  <c r="N13" i="16"/>
  <c r="K13" i="16"/>
  <c r="N14" i="16"/>
  <c r="K14" i="16"/>
  <c r="N15" i="16"/>
  <c r="K15" i="16"/>
  <c r="N16" i="16"/>
  <c r="K16" i="16"/>
  <c r="N17" i="16"/>
  <c r="K17" i="16"/>
  <c r="N18" i="16"/>
  <c r="K18" i="16"/>
  <c r="N19" i="16"/>
  <c r="K19" i="16"/>
  <c r="N20" i="16"/>
  <c r="K20" i="16"/>
  <c r="N21" i="16"/>
  <c r="K21" i="16"/>
  <c r="N22" i="16"/>
  <c r="K22" i="16"/>
  <c r="N23" i="16"/>
  <c r="K23" i="16"/>
  <c r="N24" i="16"/>
  <c r="K24" i="16"/>
  <c r="N25" i="16"/>
  <c r="K25" i="16"/>
  <c r="N26" i="16"/>
  <c r="K26" i="16"/>
  <c r="N33" i="16"/>
  <c r="K33" i="16"/>
  <c r="N34" i="16"/>
  <c r="K34" i="16"/>
  <c r="N35" i="16"/>
  <c r="K35" i="16"/>
  <c r="N36" i="16"/>
  <c r="K36" i="16"/>
  <c r="N37" i="16"/>
  <c r="K37" i="16"/>
  <c r="N44" i="16"/>
  <c r="K44" i="16"/>
  <c r="N45" i="16"/>
  <c r="K45" i="16"/>
  <c r="L70" i="22"/>
  <c r="K70" i="22"/>
  <c r="L71" i="22"/>
  <c r="K71" i="22"/>
  <c r="L72" i="22"/>
  <c r="K72" i="22"/>
  <c r="L73" i="22"/>
  <c r="K73" i="22"/>
  <c r="L74" i="22"/>
  <c r="K74" i="22"/>
  <c r="L75" i="22"/>
  <c r="K75" i="22"/>
  <c r="L76" i="22"/>
  <c r="K76" i="22"/>
  <c r="L77" i="22"/>
  <c r="K77" i="22"/>
  <c r="L78" i="22"/>
  <c r="K78" i="22"/>
  <c r="L79" i="22"/>
  <c r="K79" i="22"/>
  <c r="K80" i="22"/>
  <c r="K47" i="16"/>
  <c r="N50" i="16"/>
  <c r="K50" i="16"/>
  <c r="N51" i="16"/>
  <c r="K51" i="16"/>
  <c r="N52" i="16"/>
  <c r="K52" i="16"/>
  <c r="K53" i="16"/>
  <c r="O22" i="52"/>
  <c r="Y22" i="52"/>
  <c r="AD22" i="52"/>
  <c r="AI22" i="52"/>
  <c r="AN22" i="52"/>
  <c r="AS22" i="52"/>
  <c r="AX22" i="52"/>
  <c r="BC22" i="52"/>
  <c r="BH22" i="52"/>
  <c r="BM22" i="52"/>
  <c r="BR22" i="52"/>
  <c r="BW22" i="52"/>
  <c r="CB22" i="52"/>
  <c r="CG22" i="52"/>
  <c r="CL22" i="52"/>
  <c r="CQ22" i="52"/>
  <c r="CV22" i="52"/>
  <c r="J24" i="6"/>
  <c r="K24" i="6"/>
  <c r="J10" i="6"/>
  <c r="J13" i="6"/>
  <c r="J19" i="6"/>
  <c r="J28" i="6"/>
  <c r="J31" i="6"/>
  <c r="J37" i="6"/>
  <c r="J44" i="6"/>
  <c r="K10" i="6"/>
  <c r="K13" i="6"/>
  <c r="K19" i="6"/>
  <c r="K28" i="6"/>
  <c r="K31" i="6"/>
  <c r="K37" i="6"/>
  <c r="K44" i="6"/>
  <c r="L10" i="6"/>
  <c r="L13" i="6"/>
  <c r="L19" i="6"/>
  <c r="L28" i="6"/>
  <c r="L31" i="6"/>
  <c r="L37" i="6"/>
  <c r="L44" i="6"/>
  <c r="M10" i="6"/>
  <c r="M13" i="6"/>
  <c r="M19" i="6"/>
  <c r="M28" i="6"/>
  <c r="M31" i="6"/>
  <c r="M37" i="6"/>
  <c r="M44" i="6"/>
  <c r="N10" i="6"/>
  <c r="N13" i="6"/>
  <c r="N19" i="6"/>
  <c r="N28" i="6"/>
  <c r="N31" i="6"/>
  <c r="N37" i="6"/>
  <c r="N44" i="6"/>
  <c r="O10" i="6"/>
  <c r="O13" i="6"/>
  <c r="O19" i="6"/>
  <c r="O28" i="6"/>
  <c r="O31" i="6"/>
  <c r="O37" i="6"/>
  <c r="O44" i="6"/>
  <c r="P10" i="6"/>
  <c r="P13" i="6"/>
  <c r="P19" i="6"/>
  <c r="P28" i="6"/>
  <c r="P31" i="6"/>
  <c r="P37" i="6"/>
  <c r="P44" i="6"/>
  <c r="Q10" i="6"/>
  <c r="Q13" i="6"/>
  <c r="Q19" i="6"/>
  <c r="Q28" i="6"/>
  <c r="Q31" i="6"/>
  <c r="Q37" i="6"/>
  <c r="Q44" i="6"/>
  <c r="R10" i="6"/>
  <c r="R13" i="6"/>
  <c r="R19" i="6"/>
  <c r="R28" i="6"/>
  <c r="R31" i="6"/>
  <c r="R37" i="6"/>
  <c r="R44" i="6"/>
  <c r="S10" i="6"/>
  <c r="S13" i="6"/>
  <c r="S19" i="6"/>
  <c r="S28" i="6"/>
  <c r="S31" i="6"/>
  <c r="S37" i="6"/>
  <c r="S44" i="6"/>
  <c r="T10" i="6"/>
  <c r="T13" i="6"/>
  <c r="T19" i="6"/>
  <c r="T28" i="6"/>
  <c r="T31" i="6"/>
  <c r="T37" i="6"/>
  <c r="T44" i="6"/>
  <c r="U10" i="6"/>
  <c r="U13" i="6"/>
  <c r="U19" i="6"/>
  <c r="U28" i="6"/>
  <c r="U31" i="6"/>
  <c r="U37" i="6"/>
  <c r="U44" i="6"/>
  <c r="V10" i="6"/>
  <c r="V13" i="6"/>
  <c r="V19" i="6"/>
  <c r="V28" i="6"/>
  <c r="V31" i="6"/>
  <c r="V37" i="6"/>
  <c r="V44" i="6"/>
  <c r="W10" i="6"/>
  <c r="W13" i="6"/>
  <c r="W19" i="6"/>
  <c r="W28" i="6"/>
  <c r="W31" i="6"/>
  <c r="W37" i="6"/>
  <c r="W44" i="6"/>
  <c r="X10" i="6"/>
  <c r="X13" i="6"/>
  <c r="X19" i="6"/>
  <c r="X28" i="6"/>
  <c r="X31" i="6"/>
  <c r="X37" i="6"/>
  <c r="X44" i="6"/>
  <c r="Y10" i="6"/>
  <c r="Y13" i="6"/>
  <c r="Y19" i="6"/>
  <c r="Y28" i="6"/>
  <c r="Y31" i="6"/>
  <c r="Y37" i="6"/>
  <c r="Y44" i="6"/>
  <c r="Z10" i="6"/>
  <c r="Z13" i="6"/>
  <c r="Z19" i="6"/>
  <c r="Z28" i="6"/>
  <c r="Z31" i="6"/>
  <c r="Z37" i="6"/>
  <c r="Z44" i="6"/>
  <c r="AA10" i="6"/>
  <c r="AA13" i="6"/>
  <c r="AA19" i="6"/>
  <c r="AA28" i="6"/>
  <c r="AA31" i="6"/>
  <c r="AA37" i="6"/>
  <c r="AA44" i="6"/>
  <c r="AB10" i="6"/>
  <c r="AB13" i="6"/>
  <c r="AB19" i="6"/>
  <c r="AB28" i="6"/>
  <c r="AB31" i="6"/>
  <c r="AB37" i="6"/>
  <c r="AB44" i="6"/>
  <c r="AC10" i="6"/>
  <c r="AC13" i="6"/>
  <c r="AC19" i="6"/>
  <c r="AC28" i="6"/>
  <c r="AC31" i="6"/>
  <c r="AC37" i="6"/>
  <c r="AC44" i="6"/>
  <c r="AD10" i="6"/>
  <c r="AD13" i="6"/>
  <c r="AD19" i="6"/>
  <c r="AD28" i="6"/>
  <c r="AD31" i="6"/>
  <c r="AD37" i="6"/>
  <c r="AD44" i="6"/>
  <c r="AE10" i="6"/>
  <c r="AE13" i="6"/>
  <c r="AE19" i="6"/>
  <c r="AE28" i="6"/>
  <c r="AE31" i="6"/>
  <c r="AE37" i="6"/>
  <c r="AE44" i="6"/>
  <c r="AF10" i="6"/>
  <c r="AF13" i="6"/>
  <c r="AF19" i="6"/>
  <c r="AF28" i="6"/>
  <c r="AF31" i="6"/>
  <c r="AF37" i="6"/>
  <c r="AF44" i="6"/>
  <c r="AG10" i="6"/>
  <c r="AG13" i="6"/>
  <c r="AG19" i="6"/>
  <c r="AG28" i="6"/>
  <c r="AG31" i="6"/>
  <c r="AG37" i="6"/>
  <c r="AG44" i="6"/>
  <c r="AH10" i="6"/>
  <c r="AH13" i="6"/>
  <c r="AH19" i="6"/>
  <c r="AH28" i="6"/>
  <c r="AH31" i="6"/>
  <c r="AH37" i="6"/>
  <c r="AH44" i="6"/>
  <c r="AI10" i="6"/>
  <c r="AI13" i="6"/>
  <c r="AI19" i="6"/>
  <c r="AI28" i="6"/>
  <c r="AI31" i="6"/>
  <c r="AI37" i="6"/>
  <c r="AI44" i="6"/>
  <c r="AJ10" i="6"/>
  <c r="AJ13" i="6"/>
  <c r="AJ19" i="6"/>
  <c r="AJ28" i="6"/>
  <c r="AJ31" i="6"/>
  <c r="AJ37" i="6"/>
  <c r="AJ44" i="6"/>
  <c r="AK10" i="6"/>
  <c r="AK13" i="6"/>
  <c r="AK19" i="6"/>
  <c r="AK28" i="6"/>
  <c r="AK31" i="6"/>
  <c r="AK37" i="6"/>
  <c r="AK44" i="6"/>
  <c r="AL10" i="6"/>
  <c r="AL13" i="6"/>
  <c r="AL19" i="6"/>
  <c r="AL28" i="6"/>
  <c r="AL31" i="6"/>
  <c r="AL37" i="6"/>
  <c r="AL44" i="6"/>
  <c r="AM10" i="6"/>
  <c r="AM13" i="6"/>
  <c r="AM19" i="6"/>
  <c r="AM28" i="6"/>
  <c r="AM31" i="6"/>
  <c r="AM37" i="6"/>
  <c r="AM44" i="6"/>
  <c r="AN10" i="6"/>
  <c r="AN13" i="6"/>
  <c r="AN19" i="6"/>
  <c r="AN28" i="6"/>
  <c r="AN31" i="6"/>
  <c r="AN37" i="6"/>
  <c r="AN44" i="6"/>
  <c r="AO10" i="6"/>
  <c r="AO13" i="6"/>
  <c r="AO19" i="6"/>
  <c r="AO28" i="6"/>
  <c r="AO31" i="6"/>
  <c r="AO37" i="6"/>
  <c r="AO44" i="6"/>
  <c r="AP10" i="6"/>
  <c r="AP13" i="6"/>
  <c r="AP19" i="6"/>
  <c r="AP28" i="6"/>
  <c r="AP31" i="6"/>
  <c r="AP37" i="6"/>
  <c r="AP44" i="6"/>
  <c r="AQ10" i="6"/>
  <c r="AQ13" i="6"/>
  <c r="AQ19" i="6"/>
  <c r="AQ28" i="6"/>
  <c r="AQ31" i="6"/>
  <c r="AQ37" i="6"/>
  <c r="AQ44" i="6"/>
  <c r="AR10" i="6"/>
  <c r="AR13" i="6"/>
  <c r="AR19" i="6"/>
  <c r="AR28" i="6"/>
  <c r="AR31" i="6"/>
  <c r="AR37" i="6"/>
  <c r="AR44" i="6"/>
  <c r="AS10" i="6"/>
  <c r="AS13" i="6"/>
  <c r="AS19" i="6"/>
  <c r="AS28" i="6"/>
  <c r="AS31" i="6"/>
  <c r="AS37" i="6"/>
  <c r="AS44" i="6"/>
  <c r="AT10" i="6"/>
  <c r="AT13" i="6"/>
  <c r="AT19" i="6"/>
  <c r="AT28" i="6"/>
  <c r="AT31" i="6"/>
  <c r="AT37" i="6"/>
  <c r="AT44" i="6"/>
  <c r="AU10" i="6"/>
  <c r="AU13" i="6"/>
  <c r="AU19" i="6"/>
  <c r="AU28" i="6"/>
  <c r="AU31" i="6"/>
  <c r="AU37" i="6"/>
  <c r="AU44" i="6"/>
  <c r="AV10" i="6"/>
  <c r="AV13" i="6"/>
  <c r="AV19" i="6"/>
  <c r="AV28" i="6"/>
  <c r="AV31" i="6"/>
  <c r="AV37" i="6"/>
  <c r="AV44" i="6"/>
  <c r="AW10" i="6"/>
  <c r="AW13" i="6"/>
  <c r="AW19" i="6"/>
  <c r="AW28" i="6"/>
  <c r="AW31" i="6"/>
  <c r="AW37" i="6"/>
  <c r="AW44" i="6"/>
  <c r="AX10" i="6"/>
  <c r="AX13" i="6"/>
  <c r="AX19" i="6"/>
  <c r="AX28" i="6"/>
  <c r="AX31" i="6"/>
  <c r="AX37" i="6"/>
  <c r="AX44" i="6"/>
  <c r="AY10" i="6"/>
  <c r="AY13" i="6"/>
  <c r="AY19" i="6"/>
  <c r="AY28" i="6"/>
  <c r="AY31" i="6"/>
  <c r="AY37" i="6"/>
  <c r="AY44" i="6"/>
  <c r="AZ10" i="6"/>
  <c r="AZ13" i="6"/>
  <c r="AZ19" i="6"/>
  <c r="AZ28" i="6"/>
  <c r="AZ31" i="6"/>
  <c r="AZ37" i="6"/>
  <c r="AZ44" i="6"/>
  <c r="BA10" i="6"/>
  <c r="BA13" i="6"/>
  <c r="BA19" i="6"/>
  <c r="BA28" i="6"/>
  <c r="BA31" i="6"/>
  <c r="BA37" i="6"/>
  <c r="BA44" i="6"/>
  <c r="BB10" i="6"/>
  <c r="BB13" i="6"/>
  <c r="BB19" i="6"/>
  <c r="BB28" i="6"/>
  <c r="BB31" i="6"/>
  <c r="BB37" i="6"/>
  <c r="BB44" i="6"/>
  <c r="BC10" i="6"/>
  <c r="BC13" i="6"/>
  <c r="BC19" i="6"/>
  <c r="BC28" i="6"/>
  <c r="BC31" i="6"/>
  <c r="BC37" i="6"/>
  <c r="BC44" i="6"/>
  <c r="BD10" i="6"/>
  <c r="BD13" i="6"/>
  <c r="BD19" i="6"/>
  <c r="BD28" i="6"/>
  <c r="BD31" i="6"/>
  <c r="BD37" i="6"/>
  <c r="BD44" i="6"/>
  <c r="BE10" i="6"/>
  <c r="BE13" i="6"/>
  <c r="BE19" i="6"/>
  <c r="BE28" i="6"/>
  <c r="BE31" i="6"/>
  <c r="BE37" i="6"/>
  <c r="BE44" i="6"/>
  <c r="BF10" i="6"/>
  <c r="BF13" i="6"/>
  <c r="BF19" i="6"/>
  <c r="BF28" i="6"/>
  <c r="BF31" i="6"/>
  <c r="BF37" i="6"/>
  <c r="BF44" i="6"/>
  <c r="BG10" i="6"/>
  <c r="BG13" i="6"/>
  <c r="BG19" i="6"/>
  <c r="BG28" i="6"/>
  <c r="BG31" i="6"/>
  <c r="BG37" i="6"/>
  <c r="BG44" i="6"/>
  <c r="BH10" i="6"/>
  <c r="BH13" i="6"/>
  <c r="BH19" i="6"/>
  <c r="BH28" i="6"/>
  <c r="BH31" i="6"/>
  <c r="BH37" i="6"/>
  <c r="BH44" i="6"/>
  <c r="BI10" i="6"/>
  <c r="BI13" i="6"/>
  <c r="BI19" i="6"/>
  <c r="BI28" i="6"/>
  <c r="BI31" i="6"/>
  <c r="BI37" i="6"/>
  <c r="BI44" i="6"/>
  <c r="BJ10" i="6"/>
  <c r="BJ13" i="6"/>
  <c r="BJ19" i="6"/>
  <c r="BJ28" i="6"/>
  <c r="BJ31" i="6"/>
  <c r="BJ37" i="6"/>
  <c r="BJ44" i="6"/>
  <c r="BK10" i="6"/>
  <c r="BK13" i="6"/>
  <c r="BK19" i="6"/>
  <c r="BK28" i="6"/>
  <c r="BK31" i="6"/>
  <c r="BK37" i="6"/>
  <c r="BK44" i="6"/>
  <c r="BL10" i="6"/>
  <c r="BL13" i="6"/>
  <c r="BL19" i="6"/>
  <c r="BL28" i="6"/>
  <c r="BL31" i="6"/>
  <c r="BL37" i="6"/>
  <c r="BL44" i="6"/>
  <c r="BM10" i="6"/>
  <c r="BM13" i="6"/>
  <c r="BM19" i="6"/>
  <c r="BM28" i="6"/>
  <c r="BM31" i="6"/>
  <c r="BM37" i="6"/>
  <c r="BM44" i="6"/>
  <c r="BN10" i="6"/>
  <c r="BN13" i="6"/>
  <c r="BN19" i="6"/>
  <c r="BN28" i="6"/>
  <c r="BN31" i="6"/>
  <c r="BN37" i="6"/>
  <c r="BN44" i="6"/>
  <c r="BO10" i="6"/>
  <c r="BO13" i="6"/>
  <c r="BO19" i="6"/>
  <c r="BO28" i="6"/>
  <c r="BO31" i="6"/>
  <c r="BO37" i="6"/>
  <c r="BO44" i="6"/>
  <c r="BP10" i="6"/>
  <c r="BP13" i="6"/>
  <c r="BP19" i="6"/>
  <c r="BP28" i="6"/>
  <c r="BP31" i="6"/>
  <c r="BP37" i="6"/>
  <c r="BP44" i="6"/>
  <c r="BQ10" i="6"/>
  <c r="BQ13" i="6"/>
  <c r="BQ19" i="6"/>
  <c r="BQ28" i="6"/>
  <c r="BQ31" i="6"/>
  <c r="BQ37" i="6"/>
  <c r="BQ44" i="6"/>
  <c r="BR10" i="6"/>
  <c r="BR13" i="6"/>
  <c r="BR19" i="6"/>
  <c r="BR28" i="6"/>
  <c r="BR31" i="6"/>
  <c r="BR37" i="6"/>
  <c r="BR44" i="6"/>
  <c r="BS10" i="6"/>
  <c r="BS13" i="6"/>
  <c r="BS19" i="6"/>
  <c r="BS28" i="6"/>
  <c r="BS31" i="6"/>
  <c r="BS37" i="6"/>
  <c r="BS44" i="6"/>
  <c r="BT10" i="6"/>
  <c r="BT13" i="6"/>
  <c r="BT19" i="6"/>
  <c r="BT28" i="6"/>
  <c r="BT31" i="6"/>
  <c r="BT37" i="6"/>
  <c r="BT44" i="6"/>
  <c r="BU10" i="6"/>
  <c r="BU13" i="6"/>
  <c r="BU19" i="6"/>
  <c r="BU28" i="6"/>
  <c r="BU31" i="6"/>
  <c r="BU37" i="6"/>
  <c r="BU44" i="6"/>
  <c r="BV10" i="6"/>
  <c r="BV13" i="6"/>
  <c r="BV19" i="6"/>
  <c r="BV28" i="6"/>
  <c r="BV31" i="6"/>
  <c r="BV37" i="6"/>
  <c r="BV44" i="6"/>
  <c r="BW10" i="6"/>
  <c r="BW13" i="6"/>
  <c r="BW19" i="6"/>
  <c r="BW28" i="6"/>
  <c r="BW31" i="6"/>
  <c r="BW37" i="6"/>
  <c r="BW44" i="6"/>
  <c r="BX10" i="6"/>
  <c r="BX13" i="6"/>
  <c r="BX19" i="6"/>
  <c r="BX28" i="6"/>
  <c r="BX31" i="6"/>
  <c r="BX37" i="6"/>
  <c r="BX44" i="6"/>
  <c r="BY10" i="6"/>
  <c r="BY13" i="6"/>
  <c r="BY19" i="6"/>
  <c r="BY28" i="6"/>
  <c r="BY31" i="6"/>
  <c r="BY37" i="6"/>
  <c r="BY44" i="6"/>
  <c r="BZ10" i="6"/>
  <c r="BZ13" i="6"/>
  <c r="BZ19" i="6"/>
  <c r="BZ28" i="6"/>
  <c r="BZ31" i="6"/>
  <c r="BZ37" i="6"/>
  <c r="BZ44" i="6"/>
  <c r="CA10" i="6"/>
  <c r="CA13" i="6"/>
  <c r="CA19" i="6"/>
  <c r="CA28" i="6"/>
  <c r="CA31" i="6"/>
  <c r="CA37" i="6"/>
  <c r="CA44" i="6"/>
  <c r="CB10" i="6"/>
  <c r="CB13" i="6"/>
  <c r="CB19" i="6"/>
  <c r="CB28" i="6"/>
  <c r="CB31" i="6"/>
  <c r="CB37" i="6"/>
  <c r="CB44" i="6"/>
  <c r="CC10" i="6"/>
  <c r="CC13" i="6"/>
  <c r="CC19" i="6"/>
  <c r="CC28" i="6"/>
  <c r="CC31" i="6"/>
  <c r="CC37" i="6"/>
  <c r="CC44" i="6"/>
  <c r="CD10" i="6"/>
  <c r="CD13" i="6"/>
  <c r="CD19" i="6"/>
  <c r="CD28" i="6"/>
  <c r="CD31" i="6"/>
  <c r="CD37" i="6"/>
  <c r="CD44" i="6"/>
  <c r="CE10" i="6"/>
  <c r="CE13" i="6"/>
  <c r="CE19" i="6"/>
  <c r="CE28" i="6"/>
  <c r="CE31" i="6"/>
  <c r="CE37" i="6"/>
  <c r="CE44" i="6"/>
  <c r="CF10" i="6"/>
  <c r="CF13" i="6"/>
  <c r="CF19" i="6"/>
  <c r="CF28" i="6"/>
  <c r="CF31" i="6"/>
  <c r="CF37" i="6"/>
  <c r="CF44" i="6"/>
  <c r="CG10" i="6"/>
  <c r="CG13" i="6"/>
  <c r="CG19" i="6"/>
  <c r="CG28" i="6"/>
  <c r="CG31" i="6"/>
  <c r="CG37" i="6"/>
  <c r="CG44" i="6"/>
  <c r="CH10" i="6"/>
  <c r="CH13" i="6"/>
  <c r="CH19" i="6"/>
  <c r="CH28" i="6"/>
  <c r="CH31" i="6"/>
  <c r="CH37" i="6"/>
  <c r="CH44" i="6"/>
  <c r="CI10" i="6"/>
  <c r="CI13" i="6"/>
  <c r="CI19" i="6"/>
  <c r="CI28" i="6"/>
  <c r="CI31" i="6"/>
  <c r="CI37" i="6"/>
  <c r="CI44" i="6"/>
  <c r="CJ10" i="6"/>
  <c r="CJ13" i="6"/>
  <c r="CJ19" i="6"/>
  <c r="CJ28" i="6"/>
  <c r="CJ31" i="6"/>
  <c r="CJ37" i="6"/>
  <c r="CJ44" i="6"/>
  <c r="CK10" i="6"/>
  <c r="CK13" i="6"/>
  <c r="CK19" i="6"/>
  <c r="CK28" i="6"/>
  <c r="CK31" i="6"/>
  <c r="CK37" i="6"/>
  <c r="CK44" i="6"/>
  <c r="CL10" i="6"/>
  <c r="CL13" i="6"/>
  <c r="CL19" i="6"/>
  <c r="CL28" i="6"/>
  <c r="CL31" i="6"/>
  <c r="CL37" i="6"/>
  <c r="CL44" i="6"/>
  <c r="CM10" i="6"/>
  <c r="CM13" i="6"/>
  <c r="CM19" i="6"/>
  <c r="CM28" i="6"/>
  <c r="CM31" i="6"/>
  <c r="CM37" i="6"/>
  <c r="CM44" i="6"/>
  <c r="CN10" i="6"/>
  <c r="CN13" i="6"/>
  <c r="CN19" i="6"/>
  <c r="CN28" i="6"/>
  <c r="CN31" i="6"/>
  <c r="CN37" i="6"/>
  <c r="CN44" i="6"/>
  <c r="CO10" i="6"/>
  <c r="CO13" i="6"/>
  <c r="CO19" i="6"/>
  <c r="CO28" i="6"/>
  <c r="CO31" i="6"/>
  <c r="CO37" i="6"/>
  <c r="CO44" i="6"/>
  <c r="CP10" i="6"/>
  <c r="CP13" i="6"/>
  <c r="CP19" i="6"/>
  <c r="CP28" i="6"/>
  <c r="CP31" i="6"/>
  <c r="CP37" i="6"/>
  <c r="CP44" i="6"/>
  <c r="CQ10" i="6"/>
  <c r="CQ13" i="6"/>
  <c r="CQ19" i="6"/>
  <c r="CQ28" i="6"/>
  <c r="CQ31" i="6"/>
  <c r="CQ37" i="6"/>
  <c r="CQ44" i="6"/>
  <c r="CR10" i="6"/>
  <c r="CR13" i="6"/>
  <c r="CR19" i="6"/>
  <c r="CR28" i="6"/>
  <c r="CR31" i="6"/>
  <c r="CR37" i="6"/>
  <c r="CR44" i="6"/>
  <c r="CS10" i="6"/>
  <c r="CS13" i="6"/>
  <c r="CS19" i="6"/>
  <c r="CS28" i="6"/>
  <c r="CS31" i="6"/>
  <c r="CS37" i="6"/>
  <c r="CS44" i="6"/>
  <c r="CT10" i="6"/>
  <c r="CT13" i="6"/>
  <c r="CT19" i="6"/>
  <c r="CT28" i="6"/>
  <c r="CT31" i="6"/>
  <c r="CT37" i="6"/>
  <c r="CT44" i="6"/>
  <c r="CU10" i="6"/>
  <c r="CU13" i="6"/>
  <c r="CU19" i="6"/>
  <c r="CU28" i="6"/>
  <c r="CU31" i="6"/>
  <c r="CU37" i="6"/>
  <c r="CU44" i="6"/>
  <c r="CV10" i="6"/>
  <c r="CV13" i="6"/>
  <c r="CV19" i="6"/>
  <c r="CV28" i="6"/>
  <c r="CV31" i="6"/>
  <c r="CV37" i="6"/>
  <c r="CV44" i="6"/>
  <c r="CW10" i="6"/>
  <c r="CW13" i="6"/>
  <c r="CW19" i="6"/>
  <c r="CW28" i="6"/>
  <c r="CW31" i="6"/>
  <c r="CW37" i="6"/>
  <c r="CW44" i="6"/>
  <c r="CX10" i="6"/>
  <c r="CX13" i="6"/>
  <c r="CX19" i="6"/>
  <c r="CX28" i="6"/>
  <c r="CX31" i="6"/>
  <c r="CX37" i="6"/>
  <c r="CX44" i="6"/>
  <c r="CY10" i="6"/>
  <c r="CY13" i="6"/>
  <c r="CY19" i="6"/>
  <c r="CY28" i="6"/>
  <c r="CY31" i="6"/>
  <c r="CY37" i="6"/>
  <c r="CY44" i="6"/>
  <c r="CZ10" i="6"/>
  <c r="CZ13" i="6"/>
  <c r="CZ19" i="6"/>
  <c r="CZ28" i="6"/>
  <c r="CZ31" i="6"/>
  <c r="CZ37" i="6"/>
  <c r="CZ44" i="6"/>
  <c r="DA10" i="6"/>
  <c r="DA13" i="6"/>
  <c r="DA19" i="6"/>
  <c r="DA28" i="6"/>
  <c r="DA31" i="6"/>
  <c r="DA37" i="6"/>
  <c r="DA44" i="6"/>
  <c r="DB10" i="6"/>
  <c r="DB13" i="6"/>
  <c r="DB19" i="6"/>
  <c r="DB28" i="6"/>
  <c r="DB31" i="6"/>
  <c r="DB37" i="6"/>
  <c r="DB44" i="6"/>
  <c r="DC10" i="6"/>
  <c r="DC13" i="6"/>
  <c r="DC19" i="6"/>
  <c r="DC28" i="6"/>
  <c r="DC31" i="6"/>
  <c r="DC37" i="6"/>
  <c r="DC4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H12" i="11"/>
  <c r="H15" i="11"/>
  <c r="H21" i="11"/>
  <c r="H33" i="11"/>
  <c r="H34" i="11"/>
  <c r="H35" i="11"/>
  <c r="H36" i="11"/>
  <c r="H42" i="11"/>
  <c r="H49" i="11"/>
  <c r="I12" i="11"/>
  <c r="I15" i="11"/>
  <c r="I21" i="11"/>
  <c r="I33" i="11"/>
  <c r="I34" i="11"/>
  <c r="I35" i="11"/>
  <c r="I36" i="11"/>
  <c r="I42" i="11"/>
  <c r="I49" i="11"/>
  <c r="J12" i="11"/>
  <c r="J15" i="11"/>
  <c r="J21" i="11"/>
  <c r="J33" i="11"/>
  <c r="J34" i="11"/>
  <c r="J35" i="11"/>
  <c r="J36" i="11"/>
  <c r="J42" i="11"/>
  <c r="J49" i="11"/>
  <c r="K12" i="11"/>
  <c r="K15" i="11"/>
  <c r="K21" i="11"/>
  <c r="K33" i="11"/>
  <c r="K34" i="11"/>
  <c r="K35" i="11"/>
  <c r="K36" i="11"/>
  <c r="K42" i="11"/>
  <c r="K49" i="11"/>
  <c r="L12" i="11"/>
  <c r="L15" i="11"/>
  <c r="L21" i="11"/>
  <c r="L33" i="11"/>
  <c r="L34" i="11"/>
  <c r="L35" i="11"/>
  <c r="L36" i="11"/>
  <c r="L42" i="11"/>
  <c r="L49" i="11"/>
  <c r="M12" i="11"/>
  <c r="M15" i="11"/>
  <c r="M21" i="11"/>
  <c r="M33" i="11"/>
  <c r="M34" i="11"/>
  <c r="M35" i="11"/>
  <c r="M36" i="11"/>
  <c r="M42" i="11"/>
  <c r="M49" i="11"/>
  <c r="N12" i="11"/>
  <c r="N15" i="11"/>
  <c r="N21" i="11"/>
  <c r="N33" i="11"/>
  <c r="N34" i="11"/>
  <c r="N35" i="11"/>
  <c r="N36" i="11"/>
  <c r="N42" i="11"/>
  <c r="N49" i="11"/>
  <c r="O12" i="11"/>
  <c r="O15" i="11"/>
  <c r="O21" i="11"/>
  <c r="O33" i="11"/>
  <c r="O34" i="11"/>
  <c r="O35" i="11"/>
  <c r="O36" i="11"/>
  <c r="O42" i="11"/>
  <c r="O49" i="11"/>
  <c r="P12" i="11"/>
  <c r="P15" i="11"/>
  <c r="P21" i="11"/>
  <c r="P33" i="11"/>
  <c r="P34" i="11"/>
  <c r="P35" i="11"/>
  <c r="P36" i="11"/>
  <c r="P42" i="11"/>
  <c r="P49" i="11"/>
  <c r="Q12" i="11"/>
  <c r="Q15" i="11"/>
  <c r="Q21" i="11"/>
  <c r="Q33" i="11"/>
  <c r="Q34" i="11"/>
  <c r="Q35" i="11"/>
  <c r="Q36" i="11"/>
  <c r="Q42" i="11"/>
  <c r="Q49" i="11"/>
  <c r="R12" i="11"/>
  <c r="R15" i="11"/>
  <c r="R21" i="11"/>
  <c r="R33" i="11"/>
  <c r="R34" i="11"/>
  <c r="R35" i="11"/>
  <c r="R36" i="11"/>
  <c r="R42" i="11"/>
  <c r="R49" i="11"/>
  <c r="S12" i="11"/>
  <c r="S15" i="11"/>
  <c r="S21" i="11"/>
  <c r="S33" i="11"/>
  <c r="S34" i="11"/>
  <c r="S35" i="11"/>
  <c r="S36" i="11"/>
  <c r="S42" i="11"/>
  <c r="S49" i="11"/>
  <c r="T12" i="11"/>
  <c r="T15" i="11"/>
  <c r="T21" i="11"/>
  <c r="T33" i="11"/>
  <c r="T34" i="11"/>
  <c r="T35" i="11"/>
  <c r="T36" i="11"/>
  <c r="T42" i="11"/>
  <c r="T49" i="11"/>
  <c r="U12" i="11"/>
  <c r="U15" i="11"/>
  <c r="U21" i="11"/>
  <c r="U33" i="11"/>
  <c r="U34" i="11"/>
  <c r="U35" i="11"/>
  <c r="U36" i="11"/>
  <c r="U42" i="11"/>
  <c r="U49" i="11"/>
  <c r="V12" i="11"/>
  <c r="V15" i="11"/>
  <c r="V21" i="11"/>
  <c r="V33" i="11"/>
  <c r="V34" i="11"/>
  <c r="V35" i="11"/>
  <c r="V36" i="11"/>
  <c r="V42" i="11"/>
  <c r="V49" i="11"/>
  <c r="W12" i="11"/>
  <c r="W15" i="11"/>
  <c r="W21" i="11"/>
  <c r="W33" i="11"/>
  <c r="W34" i="11"/>
  <c r="W35" i="11"/>
  <c r="W36" i="11"/>
  <c r="W42" i="11"/>
  <c r="W49" i="11"/>
  <c r="X12" i="11"/>
  <c r="X15" i="11"/>
  <c r="X21" i="11"/>
  <c r="X33" i="11"/>
  <c r="X34" i="11"/>
  <c r="X35" i="11"/>
  <c r="X36" i="11"/>
  <c r="X42" i="11"/>
  <c r="X49" i="11"/>
  <c r="Y12" i="11"/>
  <c r="Y15" i="11"/>
  <c r="Y21" i="11"/>
  <c r="Y33" i="11"/>
  <c r="Y34" i="11"/>
  <c r="Y35" i="11"/>
  <c r="Y36" i="11"/>
  <c r="Y42" i="11"/>
  <c r="Y49" i="11"/>
  <c r="Z12" i="11"/>
  <c r="Z15" i="11"/>
  <c r="Z21" i="11"/>
  <c r="Z33" i="11"/>
  <c r="Z34" i="11"/>
  <c r="Z35" i="11"/>
  <c r="Z36" i="11"/>
  <c r="Z42" i="11"/>
  <c r="Z49" i="11"/>
  <c r="AA12" i="11"/>
  <c r="AA15" i="11"/>
  <c r="AA21" i="11"/>
  <c r="AA33" i="11"/>
  <c r="AA34" i="11"/>
  <c r="AA35" i="11"/>
  <c r="AA36" i="11"/>
  <c r="AA42" i="11"/>
  <c r="AA49" i="11"/>
  <c r="AB12" i="11"/>
  <c r="AB15" i="11"/>
  <c r="AB21" i="11"/>
  <c r="AB33" i="11"/>
  <c r="AB34" i="11"/>
  <c r="AB35" i="11"/>
  <c r="AB36" i="11"/>
  <c r="AB42" i="11"/>
  <c r="AB49" i="11"/>
  <c r="AC12" i="11"/>
  <c r="AC15" i="11"/>
  <c r="AC21" i="11"/>
  <c r="AC33" i="11"/>
  <c r="AC34" i="11"/>
  <c r="AC35" i="11"/>
  <c r="AC36" i="11"/>
  <c r="AC42" i="11"/>
  <c r="AC49" i="11"/>
  <c r="AD12" i="11"/>
  <c r="AD15" i="11"/>
  <c r="AD21" i="11"/>
  <c r="AD33" i="11"/>
  <c r="AD34" i="11"/>
  <c r="AD35" i="11"/>
  <c r="AD36" i="11"/>
  <c r="AD42" i="11"/>
  <c r="AD49" i="11"/>
  <c r="AE12" i="11"/>
  <c r="AE15" i="11"/>
  <c r="AE21" i="11"/>
  <c r="AE33" i="11"/>
  <c r="AE34" i="11"/>
  <c r="AE35" i="11"/>
  <c r="AE36" i="11"/>
  <c r="AE42" i="11"/>
  <c r="AE49" i="11"/>
  <c r="AF12" i="11"/>
  <c r="AF15" i="11"/>
  <c r="AF21" i="11"/>
  <c r="AF33" i="11"/>
  <c r="AF34" i="11"/>
  <c r="AF35" i="11"/>
  <c r="AF36" i="11"/>
  <c r="AF42" i="11"/>
  <c r="AF49" i="11"/>
  <c r="AG12" i="11"/>
  <c r="AG15" i="11"/>
  <c r="AG21" i="11"/>
  <c r="AG33" i="11"/>
  <c r="AG34" i="11"/>
  <c r="AG35" i="11"/>
  <c r="AG36" i="11"/>
  <c r="AG42" i="11"/>
  <c r="AG49" i="11"/>
  <c r="AH12" i="11"/>
  <c r="AH15" i="11"/>
  <c r="AH21" i="11"/>
  <c r="AH33" i="11"/>
  <c r="AH34" i="11"/>
  <c r="AH35" i="11"/>
  <c r="AH36" i="11"/>
  <c r="AH42" i="11"/>
  <c r="AH49" i="11"/>
  <c r="AI12" i="11"/>
  <c r="AI15" i="11"/>
  <c r="AI21" i="11"/>
  <c r="AI33" i="11"/>
  <c r="AI34" i="11"/>
  <c r="AI35" i="11"/>
  <c r="AI36" i="11"/>
  <c r="AI42" i="11"/>
  <c r="AI49" i="11"/>
  <c r="AJ12" i="11"/>
  <c r="AJ15" i="11"/>
  <c r="AJ21" i="11"/>
  <c r="AJ33" i="11"/>
  <c r="AJ34" i="11"/>
  <c r="AJ35" i="11"/>
  <c r="AJ36" i="11"/>
  <c r="AJ42" i="11"/>
  <c r="AJ49" i="11"/>
  <c r="AK12" i="11"/>
  <c r="AK15" i="11"/>
  <c r="AK21" i="11"/>
  <c r="AK33" i="11"/>
  <c r="AK34" i="11"/>
  <c r="AK35" i="11"/>
  <c r="AK36" i="11"/>
  <c r="AK42" i="11"/>
  <c r="AK49" i="11"/>
  <c r="AL12" i="11"/>
  <c r="AL15" i="11"/>
  <c r="AL21" i="11"/>
  <c r="AL33" i="11"/>
  <c r="AL34" i="11"/>
  <c r="AL35" i="11"/>
  <c r="AL36" i="11"/>
  <c r="AL42" i="11"/>
  <c r="AL49" i="11"/>
  <c r="AM12" i="11"/>
  <c r="AM15" i="11"/>
  <c r="AM21" i="11"/>
  <c r="AM33" i="11"/>
  <c r="AM34" i="11"/>
  <c r="AM35" i="11"/>
  <c r="AM36" i="11"/>
  <c r="AM42" i="11"/>
  <c r="AM49" i="11"/>
  <c r="AN12" i="11"/>
  <c r="AN15" i="11"/>
  <c r="AN21" i="11"/>
  <c r="AN33" i="11"/>
  <c r="AN34" i="11"/>
  <c r="AN35" i="11"/>
  <c r="AN36" i="11"/>
  <c r="AN42" i="11"/>
  <c r="AN49" i="11"/>
  <c r="AO12" i="11"/>
  <c r="AO15" i="11"/>
  <c r="AO21" i="11"/>
  <c r="AO33" i="11"/>
  <c r="AO34" i="11"/>
  <c r="AO35" i="11"/>
  <c r="AO36" i="11"/>
  <c r="AO42" i="11"/>
  <c r="AO49" i="11"/>
  <c r="AP12" i="11"/>
  <c r="AP15" i="11"/>
  <c r="AP21" i="11"/>
  <c r="AP33" i="11"/>
  <c r="AP34" i="11"/>
  <c r="AP35" i="11"/>
  <c r="AP36" i="11"/>
  <c r="AP42" i="11"/>
  <c r="AP49" i="11"/>
  <c r="AQ12" i="11"/>
  <c r="AQ15" i="11"/>
  <c r="AQ21" i="11"/>
  <c r="AQ33" i="11"/>
  <c r="AQ34" i="11"/>
  <c r="AQ35" i="11"/>
  <c r="AQ36" i="11"/>
  <c r="AQ42" i="11"/>
  <c r="AQ49" i="11"/>
  <c r="AR12" i="11"/>
  <c r="AR15" i="11"/>
  <c r="AR21" i="11"/>
  <c r="AR33" i="11"/>
  <c r="AR34" i="11"/>
  <c r="AR35" i="11"/>
  <c r="AR36" i="11"/>
  <c r="AR42" i="11"/>
  <c r="AR49" i="11"/>
  <c r="AS12" i="11"/>
  <c r="AS15" i="11"/>
  <c r="AS21" i="11"/>
  <c r="AS33" i="11"/>
  <c r="AS34" i="11"/>
  <c r="AS35" i="11"/>
  <c r="AS36" i="11"/>
  <c r="AS42" i="11"/>
  <c r="AS49" i="11"/>
  <c r="AT12" i="11"/>
  <c r="AT15" i="11"/>
  <c r="AT21" i="11"/>
  <c r="AT33" i="11"/>
  <c r="AT34" i="11"/>
  <c r="AT35" i="11"/>
  <c r="AT36" i="11"/>
  <c r="AT42" i="11"/>
  <c r="AT49" i="11"/>
  <c r="AU12" i="11"/>
  <c r="AU15" i="11"/>
  <c r="AU21" i="11"/>
  <c r="AU33" i="11"/>
  <c r="AU34" i="11"/>
  <c r="AU35" i="11"/>
  <c r="AU36" i="11"/>
  <c r="AU42" i="11"/>
  <c r="AU49" i="11"/>
  <c r="AV12" i="11"/>
  <c r="AV15" i="11"/>
  <c r="AV21" i="11"/>
  <c r="AV33" i="11"/>
  <c r="AV34" i="11"/>
  <c r="AV35" i="11"/>
  <c r="AV36" i="11"/>
  <c r="AV42" i="11"/>
  <c r="AV49" i="11"/>
  <c r="AW12" i="11"/>
  <c r="AW15" i="11"/>
  <c r="AW21" i="11"/>
  <c r="AW33" i="11"/>
  <c r="AW34" i="11"/>
  <c r="AW35" i="11"/>
  <c r="AW36" i="11"/>
  <c r="AW42" i="11"/>
  <c r="AW49" i="11"/>
  <c r="AX12" i="11"/>
  <c r="AX15" i="11"/>
  <c r="AX21" i="11"/>
  <c r="AX33" i="11"/>
  <c r="AX34" i="11"/>
  <c r="AX35" i="11"/>
  <c r="AX36" i="11"/>
  <c r="AX42" i="11"/>
  <c r="AX49" i="11"/>
  <c r="AY12" i="11"/>
  <c r="AY15" i="11"/>
  <c r="AY21" i="11"/>
  <c r="AY33" i="11"/>
  <c r="AY34" i="11"/>
  <c r="AY35" i="11"/>
  <c r="AY36" i="11"/>
  <c r="AY42" i="11"/>
  <c r="AY49" i="11"/>
  <c r="AZ12" i="11"/>
  <c r="AZ15" i="11"/>
  <c r="AZ21" i="11"/>
  <c r="AZ33" i="11"/>
  <c r="AZ34" i="11"/>
  <c r="AZ35" i="11"/>
  <c r="AZ36" i="11"/>
  <c r="AZ42" i="11"/>
  <c r="AZ49" i="11"/>
  <c r="BA12" i="11"/>
  <c r="BA15" i="11"/>
  <c r="BA21" i="11"/>
  <c r="BA33" i="11"/>
  <c r="BA34" i="11"/>
  <c r="BA35" i="11"/>
  <c r="BA36" i="11"/>
  <c r="BA42" i="11"/>
  <c r="BA49" i="11"/>
  <c r="BB12" i="11"/>
  <c r="BB15" i="11"/>
  <c r="BB21" i="11"/>
  <c r="BB33" i="11"/>
  <c r="BB34" i="11"/>
  <c r="BB35" i="11"/>
  <c r="BB36" i="11"/>
  <c r="BB42" i="11"/>
  <c r="BB49" i="11"/>
  <c r="BC12" i="11"/>
  <c r="BC15" i="11"/>
  <c r="BC21" i="11"/>
  <c r="BC33" i="11"/>
  <c r="BC34" i="11"/>
  <c r="BC35" i="11"/>
  <c r="BC36" i="11"/>
  <c r="BC42" i="11"/>
  <c r="BC49" i="11"/>
  <c r="BD12" i="11"/>
  <c r="BD15" i="11"/>
  <c r="BD21" i="11"/>
  <c r="BD33" i="11"/>
  <c r="BD34" i="11"/>
  <c r="BD35" i="11"/>
  <c r="BD36" i="11"/>
  <c r="BD42" i="11"/>
  <c r="BD49" i="11"/>
  <c r="BE12" i="11"/>
  <c r="BE15" i="11"/>
  <c r="BE21" i="11"/>
  <c r="BE33" i="11"/>
  <c r="BE34" i="11"/>
  <c r="BE35" i="11"/>
  <c r="BE36" i="11"/>
  <c r="BE42" i="11"/>
  <c r="BE49" i="11"/>
  <c r="BF12" i="11"/>
  <c r="BF15" i="11"/>
  <c r="BF21" i="11"/>
  <c r="BF33" i="11"/>
  <c r="BF34" i="11"/>
  <c r="BF35" i="11"/>
  <c r="BF36" i="11"/>
  <c r="BF42" i="11"/>
  <c r="BF49" i="11"/>
  <c r="BG12" i="11"/>
  <c r="BG15" i="11"/>
  <c r="BG21" i="11"/>
  <c r="BG33" i="11"/>
  <c r="BG34" i="11"/>
  <c r="BG35" i="11"/>
  <c r="BG36" i="11"/>
  <c r="BG42" i="11"/>
  <c r="BG49" i="11"/>
  <c r="BH12" i="11"/>
  <c r="BH15" i="11"/>
  <c r="BH21" i="11"/>
  <c r="BH33" i="11"/>
  <c r="BH34" i="11"/>
  <c r="BH35" i="11"/>
  <c r="BH36" i="11"/>
  <c r="BH42" i="11"/>
  <c r="BH49" i="11"/>
  <c r="BI12" i="11"/>
  <c r="BI15" i="11"/>
  <c r="BI21" i="11"/>
  <c r="BI33" i="11"/>
  <c r="BI34" i="11"/>
  <c r="BI35" i="11"/>
  <c r="BI36" i="11"/>
  <c r="BI42" i="11"/>
  <c r="BI49" i="11"/>
  <c r="BJ12" i="11"/>
  <c r="BJ15" i="11"/>
  <c r="BJ21" i="11"/>
  <c r="BJ33" i="11"/>
  <c r="BJ34" i="11"/>
  <c r="BJ35" i="11"/>
  <c r="BJ36" i="11"/>
  <c r="BJ42" i="11"/>
  <c r="BJ49" i="11"/>
  <c r="BK12" i="11"/>
  <c r="BK15" i="11"/>
  <c r="BK21" i="11"/>
  <c r="BK33" i="11"/>
  <c r="BK34" i="11"/>
  <c r="BK35" i="11"/>
  <c r="BK36" i="11"/>
  <c r="BK42" i="11"/>
  <c r="BK49" i="11"/>
  <c r="BL12" i="11"/>
  <c r="BL15" i="11"/>
  <c r="BL21" i="11"/>
  <c r="BL33" i="11"/>
  <c r="BL34" i="11"/>
  <c r="BL35" i="11"/>
  <c r="BL36" i="11"/>
  <c r="BL42" i="11"/>
  <c r="BL49" i="11"/>
  <c r="BM12" i="11"/>
  <c r="BM15" i="11"/>
  <c r="BM21" i="11"/>
  <c r="BM33" i="11"/>
  <c r="BM34" i="11"/>
  <c r="BM35" i="11"/>
  <c r="BM36" i="11"/>
  <c r="BM42" i="11"/>
  <c r="BM49" i="11"/>
  <c r="BN12" i="11"/>
  <c r="BN15" i="11"/>
  <c r="BN21" i="11"/>
  <c r="BN33" i="11"/>
  <c r="BN34" i="11"/>
  <c r="BN35" i="11"/>
  <c r="BN36" i="11"/>
  <c r="BN42" i="11"/>
  <c r="BN49" i="11"/>
  <c r="BO12" i="11"/>
  <c r="BO15" i="11"/>
  <c r="BO21" i="11"/>
  <c r="BO33" i="11"/>
  <c r="BO34" i="11"/>
  <c r="BO35" i="11"/>
  <c r="BO36" i="11"/>
  <c r="BO42" i="11"/>
  <c r="BO49" i="11"/>
  <c r="BP12" i="11"/>
  <c r="BP15" i="11"/>
  <c r="BP21" i="11"/>
  <c r="BP33" i="11"/>
  <c r="BP34" i="11"/>
  <c r="BP35" i="11"/>
  <c r="BP36" i="11"/>
  <c r="BP42" i="11"/>
  <c r="BP49" i="11"/>
  <c r="BQ12" i="11"/>
  <c r="BQ15" i="11"/>
  <c r="BQ21" i="11"/>
  <c r="BQ33" i="11"/>
  <c r="BQ34" i="11"/>
  <c r="BQ35" i="11"/>
  <c r="BQ36" i="11"/>
  <c r="BQ42" i="11"/>
  <c r="BQ49" i="11"/>
  <c r="BR12" i="11"/>
  <c r="BR15" i="11"/>
  <c r="BR21" i="11"/>
  <c r="BR33" i="11"/>
  <c r="BR34" i="11"/>
  <c r="BR35" i="11"/>
  <c r="BR36" i="11"/>
  <c r="BR42" i="11"/>
  <c r="BR49" i="11"/>
  <c r="BS12" i="11"/>
  <c r="BS15" i="11"/>
  <c r="BS21" i="11"/>
  <c r="BS33" i="11"/>
  <c r="BS34" i="11"/>
  <c r="BS35" i="11"/>
  <c r="BS36" i="11"/>
  <c r="BS42" i="11"/>
  <c r="BS49" i="11"/>
  <c r="BT12" i="11"/>
  <c r="BT15" i="11"/>
  <c r="BT21" i="11"/>
  <c r="BT33" i="11"/>
  <c r="BT34" i="11"/>
  <c r="BT35" i="11"/>
  <c r="BT36" i="11"/>
  <c r="BT42" i="11"/>
  <c r="BT49" i="11"/>
  <c r="BU12" i="11"/>
  <c r="BU15" i="11"/>
  <c r="BU21" i="11"/>
  <c r="BU33" i="11"/>
  <c r="BU34" i="11"/>
  <c r="BU35" i="11"/>
  <c r="BU36" i="11"/>
  <c r="BU42" i="11"/>
  <c r="BU49" i="11"/>
  <c r="BV12" i="11"/>
  <c r="BV15" i="11"/>
  <c r="BV21" i="11"/>
  <c r="BV33" i="11"/>
  <c r="BV34" i="11"/>
  <c r="BV35" i="11"/>
  <c r="BV36" i="11"/>
  <c r="BV42" i="11"/>
  <c r="BV49" i="11"/>
  <c r="BW12" i="11"/>
  <c r="BW15" i="11"/>
  <c r="BW21" i="11"/>
  <c r="BW33" i="11"/>
  <c r="BW34" i="11"/>
  <c r="BW35" i="11"/>
  <c r="BW36" i="11"/>
  <c r="BW42" i="11"/>
  <c r="BW49" i="11"/>
  <c r="BX12" i="11"/>
  <c r="BX15" i="11"/>
  <c r="BX21" i="11"/>
  <c r="BX33" i="11"/>
  <c r="BX34" i="11"/>
  <c r="BX35" i="11"/>
  <c r="BX36" i="11"/>
  <c r="BX42" i="11"/>
  <c r="BX49" i="11"/>
  <c r="BY12" i="11"/>
  <c r="BY15" i="11"/>
  <c r="BY21" i="11"/>
  <c r="BY33" i="11"/>
  <c r="BY34" i="11"/>
  <c r="BY35" i="11"/>
  <c r="BY36" i="11"/>
  <c r="BY42" i="11"/>
  <c r="BY49" i="11"/>
  <c r="BZ12" i="11"/>
  <c r="BZ15" i="11"/>
  <c r="BZ21" i="11"/>
  <c r="BZ33" i="11"/>
  <c r="BZ34" i="11"/>
  <c r="BZ35" i="11"/>
  <c r="BZ36" i="11"/>
  <c r="BZ42" i="11"/>
  <c r="BZ49" i="11"/>
  <c r="CA12" i="11"/>
  <c r="CA15" i="11"/>
  <c r="CA21" i="11"/>
  <c r="CA33" i="11"/>
  <c r="CA34" i="11"/>
  <c r="CA35" i="11"/>
  <c r="CA36" i="11"/>
  <c r="CA42" i="11"/>
  <c r="CA49" i="11"/>
  <c r="CB12" i="11"/>
  <c r="CB15" i="11"/>
  <c r="CB21" i="11"/>
  <c r="CB33" i="11"/>
  <c r="CB34" i="11"/>
  <c r="CB35" i="11"/>
  <c r="CB36" i="11"/>
  <c r="CB42" i="11"/>
  <c r="CB49" i="11"/>
  <c r="CC12" i="11"/>
  <c r="CC15" i="11"/>
  <c r="CC21" i="11"/>
  <c r="CC33" i="11"/>
  <c r="CC34" i="11"/>
  <c r="CC35" i="11"/>
  <c r="CC36" i="11"/>
  <c r="CC42" i="11"/>
  <c r="CC49" i="11"/>
  <c r="CD12" i="11"/>
  <c r="CD15" i="11"/>
  <c r="CD21" i="11"/>
  <c r="CD33" i="11"/>
  <c r="CD34" i="11"/>
  <c r="CD35" i="11"/>
  <c r="CD36" i="11"/>
  <c r="CD42" i="11"/>
  <c r="CD49" i="11"/>
  <c r="CE12" i="11"/>
  <c r="CE15" i="11"/>
  <c r="CE21" i="11"/>
  <c r="CE33" i="11"/>
  <c r="CE34" i="11"/>
  <c r="CE35" i="11"/>
  <c r="CE36" i="11"/>
  <c r="CE42" i="11"/>
  <c r="CE49" i="11"/>
  <c r="CF12" i="11"/>
  <c r="CF15" i="11"/>
  <c r="CF21" i="11"/>
  <c r="CF33" i="11"/>
  <c r="CF34" i="11"/>
  <c r="CF35" i="11"/>
  <c r="CF36" i="11"/>
  <c r="CF42" i="11"/>
  <c r="CF49" i="11"/>
  <c r="CG12" i="11"/>
  <c r="CG15" i="11"/>
  <c r="CG21" i="11"/>
  <c r="CG33" i="11"/>
  <c r="CG34" i="11"/>
  <c r="CG35" i="11"/>
  <c r="CG36" i="11"/>
  <c r="CG42" i="11"/>
  <c r="CG49" i="11"/>
  <c r="CH12" i="11"/>
  <c r="CH15" i="11"/>
  <c r="CH21" i="11"/>
  <c r="CH33" i="11"/>
  <c r="CH34" i="11"/>
  <c r="CH35" i="11"/>
  <c r="CH36" i="11"/>
  <c r="CH42" i="11"/>
  <c r="CH49" i="11"/>
  <c r="CI12" i="11"/>
  <c r="CI15" i="11"/>
  <c r="CI21" i="11"/>
  <c r="CI33" i="11"/>
  <c r="CI34" i="11"/>
  <c r="CI35" i="11"/>
  <c r="CI36" i="11"/>
  <c r="CI42" i="11"/>
  <c r="CI49" i="11"/>
  <c r="CJ12" i="11"/>
  <c r="CJ15" i="11"/>
  <c r="CJ21" i="11"/>
  <c r="CJ33" i="11"/>
  <c r="CJ34" i="11"/>
  <c r="CJ35" i="11"/>
  <c r="CJ36" i="11"/>
  <c r="CJ42" i="11"/>
  <c r="CJ49" i="11"/>
  <c r="CK12" i="11"/>
  <c r="CK15" i="11"/>
  <c r="CK21" i="11"/>
  <c r="CK33" i="11"/>
  <c r="CK34" i="11"/>
  <c r="CK35" i="11"/>
  <c r="CK36" i="11"/>
  <c r="CK42" i="11"/>
  <c r="CK49" i="11"/>
  <c r="CL12" i="11"/>
  <c r="CL15" i="11"/>
  <c r="CL21" i="11"/>
  <c r="CL33" i="11"/>
  <c r="CL34" i="11"/>
  <c r="CL35" i="11"/>
  <c r="CL36" i="11"/>
  <c r="CL42" i="11"/>
  <c r="CL49" i="11"/>
  <c r="CM12" i="11"/>
  <c r="CM15" i="11"/>
  <c r="CM21" i="11"/>
  <c r="CM33" i="11"/>
  <c r="CM34" i="11"/>
  <c r="CM35" i="11"/>
  <c r="CM36" i="11"/>
  <c r="CM42" i="11"/>
  <c r="CM49" i="11"/>
  <c r="CN12" i="11"/>
  <c r="CN15" i="11"/>
  <c r="CN21" i="11"/>
  <c r="CN33" i="11"/>
  <c r="CN34" i="11"/>
  <c r="CN35" i="11"/>
  <c r="CN36" i="11"/>
  <c r="CN42" i="11"/>
  <c r="CN49" i="11"/>
  <c r="CO12" i="11"/>
  <c r="CO15" i="11"/>
  <c r="CO21" i="11"/>
  <c r="CO33" i="11"/>
  <c r="CO34" i="11"/>
  <c r="CO35" i="11"/>
  <c r="CO36" i="11"/>
  <c r="CO42" i="11"/>
  <c r="CO49" i="11"/>
  <c r="CP12" i="11"/>
  <c r="CP15" i="11"/>
  <c r="CP21" i="11"/>
  <c r="CP33" i="11"/>
  <c r="CP34" i="11"/>
  <c r="CP35" i="11"/>
  <c r="CP36" i="11"/>
  <c r="CP42" i="11"/>
  <c r="CP49" i="11"/>
  <c r="CQ12" i="11"/>
  <c r="CQ15" i="11"/>
  <c r="CQ21" i="11"/>
  <c r="CQ33" i="11"/>
  <c r="CQ34" i="11"/>
  <c r="CQ35" i="11"/>
  <c r="CQ36" i="11"/>
  <c r="CQ42" i="11"/>
  <c r="CQ49" i="11"/>
  <c r="CR12" i="11"/>
  <c r="CR15" i="11"/>
  <c r="CR21" i="11"/>
  <c r="CR33" i="11"/>
  <c r="CR34" i="11"/>
  <c r="CR35" i="11"/>
  <c r="CR36" i="11"/>
  <c r="CR42" i="11"/>
  <c r="CR49" i="11"/>
  <c r="CS12" i="11"/>
  <c r="CS15" i="11"/>
  <c r="CS21" i="11"/>
  <c r="CS33" i="11"/>
  <c r="CS34" i="11"/>
  <c r="CS35" i="11"/>
  <c r="CS36" i="11"/>
  <c r="CS42" i="11"/>
  <c r="CS49" i="11"/>
  <c r="CT12" i="11"/>
  <c r="CT15" i="11"/>
  <c r="CT21" i="11"/>
  <c r="CT33" i="11"/>
  <c r="CT34" i="11"/>
  <c r="CT35" i="11"/>
  <c r="CT36" i="11"/>
  <c r="CT42" i="11"/>
  <c r="CT49" i="11"/>
  <c r="CU12" i="11"/>
  <c r="CU15" i="11"/>
  <c r="CU21" i="11"/>
  <c r="CU33" i="11"/>
  <c r="CU34" i="11"/>
  <c r="CU35" i="11"/>
  <c r="CU36" i="11"/>
  <c r="CU42" i="11"/>
  <c r="CU49" i="11"/>
  <c r="CV12" i="11"/>
  <c r="CV15" i="11"/>
  <c r="CV21" i="11"/>
  <c r="CV33" i="11"/>
  <c r="CV34" i="11"/>
  <c r="CV35" i="11"/>
  <c r="CV36" i="11"/>
  <c r="CV42" i="11"/>
  <c r="CV49" i="11"/>
  <c r="CW12" i="11"/>
  <c r="CW15" i="11"/>
  <c r="CW21" i="11"/>
  <c r="CW33" i="11"/>
  <c r="CW34" i="11"/>
  <c r="CW35" i="11"/>
  <c r="CW36" i="11"/>
  <c r="CW42" i="11"/>
  <c r="CW49" i="11"/>
  <c r="CX12" i="11"/>
  <c r="CX15" i="11"/>
  <c r="CX21" i="11"/>
  <c r="CX33" i="11"/>
  <c r="CX34" i="11"/>
  <c r="CX35" i="11"/>
  <c r="CX36" i="11"/>
  <c r="CX42" i="11"/>
  <c r="CX49" i="11"/>
  <c r="CY12" i="11"/>
  <c r="CY15" i="11"/>
  <c r="CY21" i="11"/>
  <c r="CY33" i="11"/>
  <c r="CY34" i="11"/>
  <c r="CY35" i="11"/>
  <c r="CY36" i="11"/>
  <c r="CY42" i="11"/>
  <c r="CY49" i="11"/>
  <c r="CZ12" i="11"/>
  <c r="CZ15" i="11"/>
  <c r="CZ21" i="11"/>
  <c r="CZ33" i="11"/>
  <c r="CZ34" i="11"/>
  <c r="CZ35" i="11"/>
  <c r="CZ36" i="11"/>
  <c r="CZ42" i="11"/>
  <c r="CZ49" i="11"/>
  <c r="DA12" i="11"/>
  <c r="DA15" i="11"/>
  <c r="DA21" i="11"/>
  <c r="DA33" i="11"/>
  <c r="DA34" i="11"/>
  <c r="DA35" i="11"/>
  <c r="DA36" i="11"/>
  <c r="DA42" i="11"/>
  <c r="DA49" i="11"/>
  <c r="DB12" i="11"/>
  <c r="DB15" i="11"/>
  <c r="DB21" i="11"/>
  <c r="DB33" i="11"/>
  <c r="DB34" i="11"/>
  <c r="DB35" i="11"/>
  <c r="DB36" i="11"/>
  <c r="DB42" i="11"/>
  <c r="DB49" i="11"/>
  <c r="DC12" i="11"/>
  <c r="DC15" i="11"/>
  <c r="DC21" i="11"/>
  <c r="DC33" i="11"/>
  <c r="DC34" i="11"/>
  <c r="DC35" i="11"/>
  <c r="DC36" i="11"/>
  <c r="DC42" i="11"/>
  <c r="DC49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CF26" i="11"/>
  <c r="CG26" i="11"/>
  <c r="CH26" i="11"/>
  <c r="CI26" i="11"/>
  <c r="CJ26" i="11"/>
  <c r="CK26" i="11"/>
  <c r="CL26" i="11"/>
  <c r="CM26" i="11"/>
  <c r="CN26" i="11"/>
  <c r="CO26" i="11"/>
  <c r="CP26" i="11"/>
  <c r="CQ26" i="11"/>
  <c r="CR26" i="11"/>
  <c r="CS26" i="11"/>
  <c r="CT26" i="11"/>
  <c r="CU26" i="11"/>
  <c r="CV26" i="11"/>
  <c r="CW26" i="11"/>
  <c r="CX26" i="11"/>
  <c r="CY26" i="11"/>
  <c r="CZ26" i="11"/>
  <c r="DA26" i="11"/>
  <c r="DB26" i="11"/>
  <c r="DC26" i="11"/>
  <c r="H9" i="8"/>
  <c r="H11" i="8"/>
  <c r="H14" i="8"/>
  <c r="H20" i="8"/>
  <c r="H30" i="8"/>
  <c r="H32" i="8"/>
  <c r="H33" i="8"/>
  <c r="H34" i="8"/>
  <c r="H35" i="8"/>
  <c r="H41" i="8"/>
  <c r="H48" i="8"/>
  <c r="I9" i="8"/>
  <c r="I11" i="8"/>
  <c r="I14" i="8"/>
  <c r="I20" i="8"/>
  <c r="I30" i="8"/>
  <c r="I32" i="8"/>
  <c r="I33" i="8"/>
  <c r="I34" i="8"/>
  <c r="I35" i="8"/>
  <c r="I41" i="8"/>
  <c r="I48" i="8"/>
  <c r="J9" i="8"/>
  <c r="J11" i="8"/>
  <c r="J14" i="8"/>
  <c r="J20" i="8"/>
  <c r="J30" i="8"/>
  <c r="J32" i="8"/>
  <c r="J33" i="8"/>
  <c r="J34" i="8"/>
  <c r="J35" i="8"/>
  <c r="J41" i="8"/>
  <c r="J48" i="8"/>
  <c r="K9" i="8"/>
  <c r="K11" i="8"/>
  <c r="K14" i="8"/>
  <c r="K20" i="8"/>
  <c r="K30" i="8"/>
  <c r="K32" i="8"/>
  <c r="K33" i="8"/>
  <c r="K34" i="8"/>
  <c r="K35" i="8"/>
  <c r="K41" i="8"/>
  <c r="K48" i="8"/>
  <c r="L9" i="8"/>
  <c r="L11" i="8"/>
  <c r="L14" i="8"/>
  <c r="L20" i="8"/>
  <c r="L30" i="8"/>
  <c r="L32" i="8"/>
  <c r="L33" i="8"/>
  <c r="L34" i="8"/>
  <c r="L35" i="8"/>
  <c r="L41" i="8"/>
  <c r="L48" i="8"/>
  <c r="M9" i="8"/>
  <c r="M11" i="8"/>
  <c r="M14" i="8"/>
  <c r="M20" i="8"/>
  <c r="M30" i="8"/>
  <c r="M32" i="8"/>
  <c r="M33" i="8"/>
  <c r="M34" i="8"/>
  <c r="M35" i="8"/>
  <c r="M41" i="8"/>
  <c r="M48" i="8"/>
  <c r="N9" i="8"/>
  <c r="N11" i="8"/>
  <c r="N14" i="8"/>
  <c r="N20" i="8"/>
  <c r="N30" i="8"/>
  <c r="N32" i="8"/>
  <c r="N33" i="8"/>
  <c r="N34" i="8"/>
  <c r="N35" i="8"/>
  <c r="N41" i="8"/>
  <c r="N48" i="8"/>
  <c r="O9" i="8"/>
  <c r="O11" i="8"/>
  <c r="O14" i="8"/>
  <c r="O20" i="8"/>
  <c r="O30" i="8"/>
  <c r="O32" i="8"/>
  <c r="O33" i="8"/>
  <c r="O34" i="8"/>
  <c r="O35" i="8"/>
  <c r="O41" i="8"/>
  <c r="O48" i="8"/>
  <c r="P9" i="8"/>
  <c r="P11" i="8"/>
  <c r="P14" i="8"/>
  <c r="P20" i="8"/>
  <c r="P30" i="8"/>
  <c r="P32" i="8"/>
  <c r="P33" i="8"/>
  <c r="P34" i="8"/>
  <c r="P35" i="8"/>
  <c r="P41" i="8"/>
  <c r="P48" i="8"/>
  <c r="Q9" i="8"/>
  <c r="Q11" i="8"/>
  <c r="Q14" i="8"/>
  <c r="Q20" i="8"/>
  <c r="Q30" i="8"/>
  <c r="Q32" i="8"/>
  <c r="Q33" i="8"/>
  <c r="Q34" i="8"/>
  <c r="Q35" i="8"/>
  <c r="Q41" i="8"/>
  <c r="Q48" i="8"/>
  <c r="R9" i="8"/>
  <c r="R11" i="8"/>
  <c r="R14" i="8"/>
  <c r="R20" i="8"/>
  <c r="R30" i="8"/>
  <c r="R32" i="8"/>
  <c r="R33" i="8"/>
  <c r="R34" i="8"/>
  <c r="R35" i="8"/>
  <c r="R41" i="8"/>
  <c r="R48" i="8"/>
  <c r="S9" i="8"/>
  <c r="S11" i="8"/>
  <c r="S14" i="8"/>
  <c r="S20" i="8"/>
  <c r="S30" i="8"/>
  <c r="S32" i="8"/>
  <c r="S33" i="8"/>
  <c r="S34" i="8"/>
  <c r="S35" i="8"/>
  <c r="S41" i="8"/>
  <c r="S48" i="8"/>
  <c r="T9" i="8"/>
  <c r="T11" i="8"/>
  <c r="T14" i="8"/>
  <c r="T20" i="8"/>
  <c r="T30" i="8"/>
  <c r="T32" i="8"/>
  <c r="T33" i="8"/>
  <c r="T34" i="8"/>
  <c r="T35" i="8"/>
  <c r="T41" i="8"/>
  <c r="T48" i="8"/>
  <c r="U9" i="8"/>
  <c r="U11" i="8"/>
  <c r="U14" i="8"/>
  <c r="U20" i="8"/>
  <c r="U30" i="8"/>
  <c r="U32" i="8"/>
  <c r="U33" i="8"/>
  <c r="U34" i="8"/>
  <c r="U35" i="8"/>
  <c r="U41" i="8"/>
  <c r="U48" i="8"/>
  <c r="V9" i="8"/>
  <c r="V11" i="8"/>
  <c r="V14" i="8"/>
  <c r="V20" i="8"/>
  <c r="V30" i="8"/>
  <c r="V32" i="8"/>
  <c r="V33" i="8"/>
  <c r="V34" i="8"/>
  <c r="V35" i="8"/>
  <c r="V41" i="8"/>
  <c r="V48" i="8"/>
  <c r="W9" i="8"/>
  <c r="W11" i="8"/>
  <c r="W14" i="8"/>
  <c r="W20" i="8"/>
  <c r="W30" i="8"/>
  <c r="W32" i="8"/>
  <c r="W33" i="8"/>
  <c r="W34" i="8"/>
  <c r="W35" i="8"/>
  <c r="W41" i="8"/>
  <c r="W48" i="8"/>
  <c r="X9" i="8"/>
  <c r="X11" i="8"/>
  <c r="X14" i="8"/>
  <c r="X20" i="8"/>
  <c r="X30" i="8"/>
  <c r="X32" i="8"/>
  <c r="X33" i="8"/>
  <c r="X34" i="8"/>
  <c r="X35" i="8"/>
  <c r="X41" i="8"/>
  <c r="X48" i="8"/>
  <c r="Y9" i="8"/>
  <c r="Y11" i="8"/>
  <c r="Y14" i="8"/>
  <c r="Y20" i="8"/>
  <c r="Y30" i="8"/>
  <c r="Y32" i="8"/>
  <c r="Y33" i="8"/>
  <c r="Y34" i="8"/>
  <c r="Y35" i="8"/>
  <c r="Y41" i="8"/>
  <c r="Y48" i="8"/>
  <c r="Z9" i="8"/>
  <c r="Z11" i="8"/>
  <c r="Z14" i="8"/>
  <c r="Z20" i="8"/>
  <c r="Z30" i="8"/>
  <c r="Z32" i="8"/>
  <c r="Z33" i="8"/>
  <c r="Z34" i="8"/>
  <c r="Z35" i="8"/>
  <c r="Z41" i="8"/>
  <c r="Z48" i="8"/>
  <c r="AA9" i="8"/>
  <c r="AA11" i="8"/>
  <c r="AA14" i="8"/>
  <c r="AA20" i="8"/>
  <c r="AA30" i="8"/>
  <c r="AA32" i="8"/>
  <c r="AA33" i="8"/>
  <c r="AA34" i="8"/>
  <c r="AA35" i="8"/>
  <c r="AA41" i="8"/>
  <c r="AA48" i="8"/>
  <c r="AB9" i="8"/>
  <c r="AB11" i="8"/>
  <c r="AB14" i="8"/>
  <c r="AB20" i="8"/>
  <c r="AB30" i="8"/>
  <c r="AB32" i="8"/>
  <c r="AB33" i="8"/>
  <c r="AB34" i="8"/>
  <c r="AB35" i="8"/>
  <c r="AB41" i="8"/>
  <c r="AB48" i="8"/>
  <c r="AC9" i="8"/>
  <c r="AC11" i="8"/>
  <c r="AC14" i="8"/>
  <c r="AC20" i="8"/>
  <c r="AC30" i="8"/>
  <c r="AC32" i="8"/>
  <c r="AC33" i="8"/>
  <c r="AC34" i="8"/>
  <c r="AC35" i="8"/>
  <c r="AC41" i="8"/>
  <c r="AC48" i="8"/>
  <c r="AD9" i="8"/>
  <c r="AD11" i="8"/>
  <c r="AD14" i="8"/>
  <c r="AD20" i="8"/>
  <c r="AD30" i="8"/>
  <c r="AD32" i="8"/>
  <c r="AD33" i="8"/>
  <c r="AD34" i="8"/>
  <c r="AD35" i="8"/>
  <c r="AD41" i="8"/>
  <c r="AD48" i="8"/>
  <c r="AE9" i="8"/>
  <c r="AE11" i="8"/>
  <c r="AE14" i="8"/>
  <c r="AE20" i="8"/>
  <c r="AE30" i="8"/>
  <c r="AE32" i="8"/>
  <c r="AE33" i="8"/>
  <c r="AE34" i="8"/>
  <c r="AE35" i="8"/>
  <c r="AE41" i="8"/>
  <c r="AE48" i="8"/>
  <c r="AF9" i="8"/>
  <c r="AF11" i="8"/>
  <c r="AF14" i="8"/>
  <c r="AF20" i="8"/>
  <c r="AF30" i="8"/>
  <c r="AF32" i="8"/>
  <c r="AF33" i="8"/>
  <c r="AF34" i="8"/>
  <c r="AF35" i="8"/>
  <c r="AF41" i="8"/>
  <c r="AF48" i="8"/>
  <c r="AG9" i="8"/>
  <c r="AG11" i="8"/>
  <c r="AG14" i="8"/>
  <c r="AG20" i="8"/>
  <c r="AG30" i="8"/>
  <c r="AG32" i="8"/>
  <c r="AG33" i="8"/>
  <c r="AG34" i="8"/>
  <c r="AG35" i="8"/>
  <c r="AG41" i="8"/>
  <c r="AG48" i="8"/>
  <c r="AH9" i="8"/>
  <c r="AH11" i="8"/>
  <c r="AH14" i="8"/>
  <c r="AH20" i="8"/>
  <c r="AH30" i="8"/>
  <c r="AH32" i="8"/>
  <c r="AH33" i="8"/>
  <c r="AH34" i="8"/>
  <c r="AH35" i="8"/>
  <c r="AH41" i="8"/>
  <c r="AH48" i="8"/>
  <c r="AI9" i="8"/>
  <c r="AI11" i="8"/>
  <c r="AI14" i="8"/>
  <c r="AI20" i="8"/>
  <c r="AI30" i="8"/>
  <c r="AI32" i="8"/>
  <c r="AI33" i="8"/>
  <c r="AI34" i="8"/>
  <c r="AI35" i="8"/>
  <c r="AI41" i="8"/>
  <c r="AI48" i="8"/>
  <c r="AJ9" i="8"/>
  <c r="AJ11" i="8"/>
  <c r="AJ14" i="8"/>
  <c r="AJ20" i="8"/>
  <c r="AJ30" i="8"/>
  <c r="AJ32" i="8"/>
  <c r="AJ33" i="8"/>
  <c r="AJ34" i="8"/>
  <c r="AJ35" i="8"/>
  <c r="AJ41" i="8"/>
  <c r="AJ48" i="8"/>
  <c r="AK9" i="8"/>
  <c r="AK11" i="8"/>
  <c r="AK14" i="8"/>
  <c r="AK20" i="8"/>
  <c r="AK30" i="8"/>
  <c r="AK32" i="8"/>
  <c r="AK33" i="8"/>
  <c r="AK34" i="8"/>
  <c r="AK35" i="8"/>
  <c r="AK41" i="8"/>
  <c r="AK48" i="8"/>
  <c r="AL9" i="8"/>
  <c r="AL11" i="8"/>
  <c r="AL14" i="8"/>
  <c r="AL20" i="8"/>
  <c r="AL30" i="8"/>
  <c r="AL32" i="8"/>
  <c r="AL33" i="8"/>
  <c r="AL34" i="8"/>
  <c r="AL35" i="8"/>
  <c r="AL41" i="8"/>
  <c r="AL48" i="8"/>
  <c r="AM9" i="8"/>
  <c r="AM11" i="8"/>
  <c r="AM14" i="8"/>
  <c r="AM20" i="8"/>
  <c r="AM30" i="8"/>
  <c r="AM32" i="8"/>
  <c r="AM33" i="8"/>
  <c r="AM34" i="8"/>
  <c r="AM35" i="8"/>
  <c r="AM41" i="8"/>
  <c r="AM48" i="8"/>
  <c r="AN9" i="8"/>
  <c r="AN11" i="8"/>
  <c r="AN14" i="8"/>
  <c r="AN20" i="8"/>
  <c r="AN30" i="8"/>
  <c r="AN32" i="8"/>
  <c r="AN33" i="8"/>
  <c r="AN34" i="8"/>
  <c r="AN35" i="8"/>
  <c r="AN41" i="8"/>
  <c r="AN48" i="8"/>
  <c r="AO9" i="8"/>
  <c r="AO11" i="8"/>
  <c r="AO14" i="8"/>
  <c r="AO20" i="8"/>
  <c r="AO30" i="8"/>
  <c r="AO32" i="8"/>
  <c r="AO33" i="8"/>
  <c r="AO34" i="8"/>
  <c r="AO35" i="8"/>
  <c r="AO41" i="8"/>
  <c r="AO48" i="8"/>
  <c r="AP9" i="8"/>
  <c r="AP11" i="8"/>
  <c r="AP14" i="8"/>
  <c r="AP20" i="8"/>
  <c r="AP30" i="8"/>
  <c r="AP32" i="8"/>
  <c r="AP33" i="8"/>
  <c r="AP34" i="8"/>
  <c r="AP35" i="8"/>
  <c r="AP41" i="8"/>
  <c r="AP48" i="8"/>
  <c r="AQ9" i="8"/>
  <c r="AQ11" i="8"/>
  <c r="AQ14" i="8"/>
  <c r="AQ20" i="8"/>
  <c r="AQ30" i="8"/>
  <c r="AQ32" i="8"/>
  <c r="AQ33" i="8"/>
  <c r="AQ34" i="8"/>
  <c r="AQ35" i="8"/>
  <c r="AQ41" i="8"/>
  <c r="AQ48" i="8"/>
  <c r="AR9" i="8"/>
  <c r="AR11" i="8"/>
  <c r="AR14" i="8"/>
  <c r="AR20" i="8"/>
  <c r="AR30" i="8"/>
  <c r="AR32" i="8"/>
  <c r="AR33" i="8"/>
  <c r="AR34" i="8"/>
  <c r="AR35" i="8"/>
  <c r="AR41" i="8"/>
  <c r="AR48" i="8"/>
  <c r="AS9" i="8"/>
  <c r="AS11" i="8"/>
  <c r="AS14" i="8"/>
  <c r="AS20" i="8"/>
  <c r="AS30" i="8"/>
  <c r="AS32" i="8"/>
  <c r="AS33" i="8"/>
  <c r="AS34" i="8"/>
  <c r="AS35" i="8"/>
  <c r="AS41" i="8"/>
  <c r="AS48" i="8"/>
  <c r="AT9" i="8"/>
  <c r="AT11" i="8"/>
  <c r="AT14" i="8"/>
  <c r="AT20" i="8"/>
  <c r="AT30" i="8"/>
  <c r="AT32" i="8"/>
  <c r="AT33" i="8"/>
  <c r="AT34" i="8"/>
  <c r="AT35" i="8"/>
  <c r="AT41" i="8"/>
  <c r="AT48" i="8"/>
  <c r="AU9" i="8"/>
  <c r="AU11" i="8"/>
  <c r="AU14" i="8"/>
  <c r="AU20" i="8"/>
  <c r="AU30" i="8"/>
  <c r="AU32" i="8"/>
  <c r="AU33" i="8"/>
  <c r="AU34" i="8"/>
  <c r="AU35" i="8"/>
  <c r="AU41" i="8"/>
  <c r="AU48" i="8"/>
  <c r="AV9" i="8"/>
  <c r="AV11" i="8"/>
  <c r="AV14" i="8"/>
  <c r="AV20" i="8"/>
  <c r="AV30" i="8"/>
  <c r="AV32" i="8"/>
  <c r="AV33" i="8"/>
  <c r="AV34" i="8"/>
  <c r="AV35" i="8"/>
  <c r="AV41" i="8"/>
  <c r="AV48" i="8"/>
  <c r="AW9" i="8"/>
  <c r="AW11" i="8"/>
  <c r="AW14" i="8"/>
  <c r="AW20" i="8"/>
  <c r="AW30" i="8"/>
  <c r="AW32" i="8"/>
  <c r="AW33" i="8"/>
  <c r="AW34" i="8"/>
  <c r="AW35" i="8"/>
  <c r="AW41" i="8"/>
  <c r="AW48" i="8"/>
  <c r="AX9" i="8"/>
  <c r="AX11" i="8"/>
  <c r="AX14" i="8"/>
  <c r="AX20" i="8"/>
  <c r="AX30" i="8"/>
  <c r="AX32" i="8"/>
  <c r="AX33" i="8"/>
  <c r="AX34" i="8"/>
  <c r="AX35" i="8"/>
  <c r="AX41" i="8"/>
  <c r="AX48" i="8"/>
  <c r="AY9" i="8"/>
  <c r="AY11" i="8"/>
  <c r="AY14" i="8"/>
  <c r="AY20" i="8"/>
  <c r="AY30" i="8"/>
  <c r="AY32" i="8"/>
  <c r="AY33" i="8"/>
  <c r="AY34" i="8"/>
  <c r="AY35" i="8"/>
  <c r="AY41" i="8"/>
  <c r="AY48" i="8"/>
  <c r="AZ9" i="8"/>
  <c r="AZ11" i="8"/>
  <c r="AZ14" i="8"/>
  <c r="AZ20" i="8"/>
  <c r="AZ30" i="8"/>
  <c r="AZ32" i="8"/>
  <c r="AZ33" i="8"/>
  <c r="AZ34" i="8"/>
  <c r="AZ35" i="8"/>
  <c r="AZ41" i="8"/>
  <c r="AZ48" i="8"/>
  <c r="BA9" i="8"/>
  <c r="BA11" i="8"/>
  <c r="BA14" i="8"/>
  <c r="BA20" i="8"/>
  <c r="BA30" i="8"/>
  <c r="BA32" i="8"/>
  <c r="BA33" i="8"/>
  <c r="BA34" i="8"/>
  <c r="BA35" i="8"/>
  <c r="BA41" i="8"/>
  <c r="BA48" i="8"/>
  <c r="BB9" i="8"/>
  <c r="BB11" i="8"/>
  <c r="BB14" i="8"/>
  <c r="BB20" i="8"/>
  <c r="BB30" i="8"/>
  <c r="BB32" i="8"/>
  <c r="BB33" i="8"/>
  <c r="BB34" i="8"/>
  <c r="BB35" i="8"/>
  <c r="BB41" i="8"/>
  <c r="BB48" i="8"/>
  <c r="BC9" i="8"/>
  <c r="BC11" i="8"/>
  <c r="BC14" i="8"/>
  <c r="BC20" i="8"/>
  <c r="BC30" i="8"/>
  <c r="BC32" i="8"/>
  <c r="BC33" i="8"/>
  <c r="BC34" i="8"/>
  <c r="BC35" i="8"/>
  <c r="BC41" i="8"/>
  <c r="BC48" i="8"/>
  <c r="BD9" i="8"/>
  <c r="BD11" i="8"/>
  <c r="BD14" i="8"/>
  <c r="BD20" i="8"/>
  <c r="BD30" i="8"/>
  <c r="BD32" i="8"/>
  <c r="BD33" i="8"/>
  <c r="BD34" i="8"/>
  <c r="BD35" i="8"/>
  <c r="BD41" i="8"/>
  <c r="BD48" i="8"/>
  <c r="BE9" i="8"/>
  <c r="BE11" i="8"/>
  <c r="BE14" i="8"/>
  <c r="BE20" i="8"/>
  <c r="BE30" i="8"/>
  <c r="BE32" i="8"/>
  <c r="BE33" i="8"/>
  <c r="BE34" i="8"/>
  <c r="BE35" i="8"/>
  <c r="BE41" i="8"/>
  <c r="BE48" i="8"/>
  <c r="BF9" i="8"/>
  <c r="BF11" i="8"/>
  <c r="BF14" i="8"/>
  <c r="BF20" i="8"/>
  <c r="BF30" i="8"/>
  <c r="BF32" i="8"/>
  <c r="BF33" i="8"/>
  <c r="BF34" i="8"/>
  <c r="BF35" i="8"/>
  <c r="BF41" i="8"/>
  <c r="BF48" i="8"/>
  <c r="BG9" i="8"/>
  <c r="BG11" i="8"/>
  <c r="BG14" i="8"/>
  <c r="BG20" i="8"/>
  <c r="BG30" i="8"/>
  <c r="BG32" i="8"/>
  <c r="BG33" i="8"/>
  <c r="BG34" i="8"/>
  <c r="BG35" i="8"/>
  <c r="BG41" i="8"/>
  <c r="BG48" i="8"/>
  <c r="BH9" i="8"/>
  <c r="BH11" i="8"/>
  <c r="BH14" i="8"/>
  <c r="BH20" i="8"/>
  <c r="BH30" i="8"/>
  <c r="BH32" i="8"/>
  <c r="BH33" i="8"/>
  <c r="BH34" i="8"/>
  <c r="BH35" i="8"/>
  <c r="BH41" i="8"/>
  <c r="BH48" i="8"/>
  <c r="BI9" i="8"/>
  <c r="BI11" i="8"/>
  <c r="BI14" i="8"/>
  <c r="BI20" i="8"/>
  <c r="BI30" i="8"/>
  <c r="BI32" i="8"/>
  <c r="BI33" i="8"/>
  <c r="BI34" i="8"/>
  <c r="BI35" i="8"/>
  <c r="BI41" i="8"/>
  <c r="BI48" i="8"/>
  <c r="BJ9" i="8"/>
  <c r="BJ11" i="8"/>
  <c r="BJ14" i="8"/>
  <c r="BJ20" i="8"/>
  <c r="BJ30" i="8"/>
  <c r="BJ32" i="8"/>
  <c r="BJ33" i="8"/>
  <c r="BJ34" i="8"/>
  <c r="BJ35" i="8"/>
  <c r="BJ41" i="8"/>
  <c r="BJ48" i="8"/>
  <c r="BK9" i="8"/>
  <c r="BK11" i="8"/>
  <c r="BK14" i="8"/>
  <c r="BK20" i="8"/>
  <c r="BK30" i="8"/>
  <c r="BK32" i="8"/>
  <c r="BK33" i="8"/>
  <c r="BK34" i="8"/>
  <c r="BK35" i="8"/>
  <c r="BK41" i="8"/>
  <c r="BK48" i="8"/>
  <c r="BL9" i="8"/>
  <c r="BL11" i="8"/>
  <c r="BL14" i="8"/>
  <c r="BL20" i="8"/>
  <c r="BL30" i="8"/>
  <c r="BL32" i="8"/>
  <c r="BL33" i="8"/>
  <c r="BL34" i="8"/>
  <c r="BL35" i="8"/>
  <c r="BL41" i="8"/>
  <c r="BL48" i="8"/>
  <c r="BM9" i="8"/>
  <c r="BM11" i="8"/>
  <c r="BM14" i="8"/>
  <c r="BM20" i="8"/>
  <c r="BM30" i="8"/>
  <c r="BM32" i="8"/>
  <c r="BM33" i="8"/>
  <c r="BM34" i="8"/>
  <c r="BM35" i="8"/>
  <c r="BM41" i="8"/>
  <c r="BM48" i="8"/>
  <c r="BN9" i="8"/>
  <c r="BN11" i="8"/>
  <c r="BN14" i="8"/>
  <c r="BN20" i="8"/>
  <c r="BN30" i="8"/>
  <c r="BN32" i="8"/>
  <c r="BN33" i="8"/>
  <c r="BN34" i="8"/>
  <c r="BN35" i="8"/>
  <c r="BN41" i="8"/>
  <c r="BN48" i="8"/>
  <c r="BO9" i="8"/>
  <c r="BO11" i="8"/>
  <c r="BO14" i="8"/>
  <c r="BO20" i="8"/>
  <c r="BO30" i="8"/>
  <c r="BO32" i="8"/>
  <c r="BO33" i="8"/>
  <c r="BO34" i="8"/>
  <c r="BO35" i="8"/>
  <c r="BO41" i="8"/>
  <c r="BO48" i="8"/>
  <c r="BP9" i="8"/>
  <c r="BP11" i="8"/>
  <c r="BP14" i="8"/>
  <c r="BP20" i="8"/>
  <c r="BP30" i="8"/>
  <c r="BP32" i="8"/>
  <c r="BP33" i="8"/>
  <c r="BP34" i="8"/>
  <c r="BP35" i="8"/>
  <c r="BP41" i="8"/>
  <c r="BP48" i="8"/>
  <c r="BQ9" i="8"/>
  <c r="BQ11" i="8"/>
  <c r="BQ14" i="8"/>
  <c r="BQ20" i="8"/>
  <c r="BQ30" i="8"/>
  <c r="BQ32" i="8"/>
  <c r="BQ33" i="8"/>
  <c r="BQ34" i="8"/>
  <c r="BQ35" i="8"/>
  <c r="BQ41" i="8"/>
  <c r="BQ48" i="8"/>
  <c r="BR9" i="8"/>
  <c r="BR11" i="8"/>
  <c r="BR14" i="8"/>
  <c r="BR20" i="8"/>
  <c r="BR30" i="8"/>
  <c r="BR32" i="8"/>
  <c r="BR33" i="8"/>
  <c r="BR34" i="8"/>
  <c r="BR35" i="8"/>
  <c r="BR41" i="8"/>
  <c r="BR48" i="8"/>
  <c r="BS9" i="8"/>
  <c r="BS11" i="8"/>
  <c r="BS14" i="8"/>
  <c r="BS20" i="8"/>
  <c r="BS30" i="8"/>
  <c r="BS32" i="8"/>
  <c r="BS33" i="8"/>
  <c r="BS34" i="8"/>
  <c r="BS35" i="8"/>
  <c r="BS41" i="8"/>
  <c r="BS48" i="8"/>
  <c r="BT9" i="8"/>
  <c r="BT11" i="8"/>
  <c r="BT14" i="8"/>
  <c r="BT20" i="8"/>
  <c r="BT30" i="8"/>
  <c r="BT32" i="8"/>
  <c r="BT33" i="8"/>
  <c r="BT34" i="8"/>
  <c r="BT35" i="8"/>
  <c r="BT41" i="8"/>
  <c r="BT48" i="8"/>
  <c r="BU9" i="8"/>
  <c r="BU11" i="8"/>
  <c r="BU14" i="8"/>
  <c r="BU20" i="8"/>
  <c r="BU30" i="8"/>
  <c r="BU32" i="8"/>
  <c r="BU33" i="8"/>
  <c r="BU34" i="8"/>
  <c r="BU35" i="8"/>
  <c r="BU41" i="8"/>
  <c r="BU48" i="8"/>
  <c r="BV9" i="8"/>
  <c r="BV11" i="8"/>
  <c r="BV14" i="8"/>
  <c r="BV20" i="8"/>
  <c r="BV30" i="8"/>
  <c r="BV32" i="8"/>
  <c r="BV33" i="8"/>
  <c r="BV34" i="8"/>
  <c r="BV35" i="8"/>
  <c r="BV41" i="8"/>
  <c r="BV48" i="8"/>
  <c r="BW9" i="8"/>
  <c r="BW11" i="8"/>
  <c r="BW14" i="8"/>
  <c r="BW20" i="8"/>
  <c r="BW30" i="8"/>
  <c r="BW32" i="8"/>
  <c r="BW33" i="8"/>
  <c r="BW34" i="8"/>
  <c r="BW35" i="8"/>
  <c r="BW41" i="8"/>
  <c r="BW48" i="8"/>
  <c r="BX9" i="8"/>
  <c r="BX11" i="8"/>
  <c r="BX14" i="8"/>
  <c r="BX20" i="8"/>
  <c r="BX30" i="8"/>
  <c r="BX32" i="8"/>
  <c r="BX33" i="8"/>
  <c r="BX34" i="8"/>
  <c r="BX35" i="8"/>
  <c r="BX41" i="8"/>
  <c r="BX48" i="8"/>
  <c r="BY9" i="8"/>
  <c r="BY11" i="8"/>
  <c r="BY14" i="8"/>
  <c r="BY20" i="8"/>
  <c r="BY30" i="8"/>
  <c r="BY32" i="8"/>
  <c r="BY33" i="8"/>
  <c r="BY34" i="8"/>
  <c r="BY35" i="8"/>
  <c r="BY41" i="8"/>
  <c r="BY48" i="8"/>
  <c r="BZ9" i="8"/>
  <c r="BZ11" i="8"/>
  <c r="BZ14" i="8"/>
  <c r="BZ20" i="8"/>
  <c r="BZ30" i="8"/>
  <c r="BZ32" i="8"/>
  <c r="BZ33" i="8"/>
  <c r="BZ34" i="8"/>
  <c r="BZ35" i="8"/>
  <c r="BZ41" i="8"/>
  <c r="BZ48" i="8"/>
  <c r="CA9" i="8"/>
  <c r="CA11" i="8"/>
  <c r="CA14" i="8"/>
  <c r="CA20" i="8"/>
  <c r="CA30" i="8"/>
  <c r="CA32" i="8"/>
  <c r="CA33" i="8"/>
  <c r="CA34" i="8"/>
  <c r="CA35" i="8"/>
  <c r="CA41" i="8"/>
  <c r="CA48" i="8"/>
  <c r="CB9" i="8"/>
  <c r="CB11" i="8"/>
  <c r="CB14" i="8"/>
  <c r="CB20" i="8"/>
  <c r="CB30" i="8"/>
  <c r="CB32" i="8"/>
  <c r="CB33" i="8"/>
  <c r="CB34" i="8"/>
  <c r="CB35" i="8"/>
  <c r="CB41" i="8"/>
  <c r="CB48" i="8"/>
  <c r="CC9" i="8"/>
  <c r="CC11" i="8"/>
  <c r="CC14" i="8"/>
  <c r="CC20" i="8"/>
  <c r="CC30" i="8"/>
  <c r="CC32" i="8"/>
  <c r="CC33" i="8"/>
  <c r="CC34" i="8"/>
  <c r="CC35" i="8"/>
  <c r="CC41" i="8"/>
  <c r="CC48" i="8"/>
  <c r="CD9" i="8"/>
  <c r="CD11" i="8"/>
  <c r="CD14" i="8"/>
  <c r="CD20" i="8"/>
  <c r="CD30" i="8"/>
  <c r="CD32" i="8"/>
  <c r="CD33" i="8"/>
  <c r="CD34" i="8"/>
  <c r="CD35" i="8"/>
  <c r="CD41" i="8"/>
  <c r="CD48" i="8"/>
  <c r="CE9" i="8"/>
  <c r="CE11" i="8"/>
  <c r="CE14" i="8"/>
  <c r="CE20" i="8"/>
  <c r="CE30" i="8"/>
  <c r="CE32" i="8"/>
  <c r="CE33" i="8"/>
  <c r="CE34" i="8"/>
  <c r="CE35" i="8"/>
  <c r="CE41" i="8"/>
  <c r="CE48" i="8"/>
  <c r="CF9" i="8"/>
  <c r="CF11" i="8"/>
  <c r="CF14" i="8"/>
  <c r="CF20" i="8"/>
  <c r="CF30" i="8"/>
  <c r="CF32" i="8"/>
  <c r="CF33" i="8"/>
  <c r="CF34" i="8"/>
  <c r="CF35" i="8"/>
  <c r="CF41" i="8"/>
  <c r="CF48" i="8"/>
  <c r="CG9" i="8"/>
  <c r="CG11" i="8"/>
  <c r="CG14" i="8"/>
  <c r="CG20" i="8"/>
  <c r="CG30" i="8"/>
  <c r="CG32" i="8"/>
  <c r="CG33" i="8"/>
  <c r="CG34" i="8"/>
  <c r="CG35" i="8"/>
  <c r="CG41" i="8"/>
  <c r="CG48" i="8"/>
  <c r="CH9" i="8"/>
  <c r="CH11" i="8"/>
  <c r="CH14" i="8"/>
  <c r="CH20" i="8"/>
  <c r="CH30" i="8"/>
  <c r="CH32" i="8"/>
  <c r="CH33" i="8"/>
  <c r="CH34" i="8"/>
  <c r="CH35" i="8"/>
  <c r="CH41" i="8"/>
  <c r="CH48" i="8"/>
  <c r="CI9" i="8"/>
  <c r="CI11" i="8"/>
  <c r="CI14" i="8"/>
  <c r="CI20" i="8"/>
  <c r="CI30" i="8"/>
  <c r="CI32" i="8"/>
  <c r="CI33" i="8"/>
  <c r="CI34" i="8"/>
  <c r="CI35" i="8"/>
  <c r="CI41" i="8"/>
  <c r="CI48" i="8"/>
  <c r="CJ9" i="8"/>
  <c r="CJ11" i="8"/>
  <c r="CJ14" i="8"/>
  <c r="CJ20" i="8"/>
  <c r="CJ30" i="8"/>
  <c r="CJ32" i="8"/>
  <c r="CJ33" i="8"/>
  <c r="CJ34" i="8"/>
  <c r="CJ35" i="8"/>
  <c r="CJ41" i="8"/>
  <c r="CJ48" i="8"/>
  <c r="CK9" i="8"/>
  <c r="CK11" i="8"/>
  <c r="CK14" i="8"/>
  <c r="CK20" i="8"/>
  <c r="CK30" i="8"/>
  <c r="CK32" i="8"/>
  <c r="CK33" i="8"/>
  <c r="CK34" i="8"/>
  <c r="CK35" i="8"/>
  <c r="CK41" i="8"/>
  <c r="CK48" i="8"/>
  <c r="CL9" i="8"/>
  <c r="CL11" i="8"/>
  <c r="CL14" i="8"/>
  <c r="CL20" i="8"/>
  <c r="CL30" i="8"/>
  <c r="CL32" i="8"/>
  <c r="CL33" i="8"/>
  <c r="CL34" i="8"/>
  <c r="CL35" i="8"/>
  <c r="CL41" i="8"/>
  <c r="CL48" i="8"/>
  <c r="CM9" i="8"/>
  <c r="CM11" i="8"/>
  <c r="CM14" i="8"/>
  <c r="CM20" i="8"/>
  <c r="CM30" i="8"/>
  <c r="CM32" i="8"/>
  <c r="CM33" i="8"/>
  <c r="CM34" i="8"/>
  <c r="CM35" i="8"/>
  <c r="CM41" i="8"/>
  <c r="CM48" i="8"/>
  <c r="CN9" i="8"/>
  <c r="CN11" i="8"/>
  <c r="CN14" i="8"/>
  <c r="CN20" i="8"/>
  <c r="CN30" i="8"/>
  <c r="CN32" i="8"/>
  <c r="CN33" i="8"/>
  <c r="CN34" i="8"/>
  <c r="CN35" i="8"/>
  <c r="CN41" i="8"/>
  <c r="CN48" i="8"/>
  <c r="CO9" i="8"/>
  <c r="CO11" i="8"/>
  <c r="CO14" i="8"/>
  <c r="CO20" i="8"/>
  <c r="CO30" i="8"/>
  <c r="CO32" i="8"/>
  <c r="CO33" i="8"/>
  <c r="CO34" i="8"/>
  <c r="CO35" i="8"/>
  <c r="CO41" i="8"/>
  <c r="CO48" i="8"/>
  <c r="CP9" i="8"/>
  <c r="CP11" i="8"/>
  <c r="CP14" i="8"/>
  <c r="CP20" i="8"/>
  <c r="CP30" i="8"/>
  <c r="CP32" i="8"/>
  <c r="CP33" i="8"/>
  <c r="CP34" i="8"/>
  <c r="CP35" i="8"/>
  <c r="CP41" i="8"/>
  <c r="CP48" i="8"/>
  <c r="CQ9" i="8"/>
  <c r="CQ11" i="8"/>
  <c r="CQ14" i="8"/>
  <c r="CQ20" i="8"/>
  <c r="CQ30" i="8"/>
  <c r="CQ32" i="8"/>
  <c r="CQ33" i="8"/>
  <c r="CQ34" i="8"/>
  <c r="CQ35" i="8"/>
  <c r="CQ41" i="8"/>
  <c r="CQ48" i="8"/>
  <c r="CR9" i="8"/>
  <c r="CR11" i="8"/>
  <c r="CR14" i="8"/>
  <c r="CR20" i="8"/>
  <c r="CR30" i="8"/>
  <c r="CR32" i="8"/>
  <c r="CR33" i="8"/>
  <c r="CR34" i="8"/>
  <c r="CR35" i="8"/>
  <c r="CR41" i="8"/>
  <c r="CR48" i="8"/>
  <c r="CS9" i="8"/>
  <c r="CS11" i="8"/>
  <c r="CS14" i="8"/>
  <c r="CS20" i="8"/>
  <c r="CS30" i="8"/>
  <c r="CS32" i="8"/>
  <c r="CS33" i="8"/>
  <c r="CS34" i="8"/>
  <c r="CS35" i="8"/>
  <c r="CS41" i="8"/>
  <c r="CS48" i="8"/>
  <c r="CT9" i="8"/>
  <c r="CT11" i="8"/>
  <c r="CT14" i="8"/>
  <c r="CT20" i="8"/>
  <c r="CT30" i="8"/>
  <c r="CT32" i="8"/>
  <c r="CT33" i="8"/>
  <c r="CT34" i="8"/>
  <c r="CT35" i="8"/>
  <c r="CT41" i="8"/>
  <c r="CT48" i="8"/>
  <c r="CU9" i="8"/>
  <c r="CU11" i="8"/>
  <c r="CU14" i="8"/>
  <c r="CU20" i="8"/>
  <c r="CU30" i="8"/>
  <c r="CU32" i="8"/>
  <c r="CU33" i="8"/>
  <c r="CU34" i="8"/>
  <c r="CU35" i="8"/>
  <c r="CU41" i="8"/>
  <c r="CU48" i="8"/>
  <c r="CV9" i="8"/>
  <c r="CV11" i="8"/>
  <c r="CV14" i="8"/>
  <c r="CV20" i="8"/>
  <c r="CV30" i="8"/>
  <c r="CV32" i="8"/>
  <c r="CV33" i="8"/>
  <c r="CV34" i="8"/>
  <c r="CV35" i="8"/>
  <c r="CV41" i="8"/>
  <c r="CV48" i="8"/>
  <c r="CW9" i="8"/>
  <c r="CW11" i="8"/>
  <c r="CW14" i="8"/>
  <c r="CW20" i="8"/>
  <c r="CW30" i="8"/>
  <c r="CW32" i="8"/>
  <c r="CW33" i="8"/>
  <c r="CW34" i="8"/>
  <c r="CW35" i="8"/>
  <c r="CW41" i="8"/>
  <c r="CW48" i="8"/>
  <c r="CX9" i="8"/>
  <c r="CX11" i="8"/>
  <c r="CX14" i="8"/>
  <c r="CX20" i="8"/>
  <c r="CX30" i="8"/>
  <c r="CX32" i="8"/>
  <c r="CX33" i="8"/>
  <c r="CX34" i="8"/>
  <c r="CX35" i="8"/>
  <c r="CX41" i="8"/>
  <c r="CX48" i="8"/>
  <c r="CY9" i="8"/>
  <c r="CY11" i="8"/>
  <c r="CY14" i="8"/>
  <c r="CY20" i="8"/>
  <c r="CY30" i="8"/>
  <c r="CY32" i="8"/>
  <c r="CY33" i="8"/>
  <c r="CY34" i="8"/>
  <c r="CY35" i="8"/>
  <c r="CY41" i="8"/>
  <c r="CY48" i="8"/>
  <c r="CZ9" i="8"/>
  <c r="CZ11" i="8"/>
  <c r="CZ14" i="8"/>
  <c r="CZ20" i="8"/>
  <c r="CZ30" i="8"/>
  <c r="CZ32" i="8"/>
  <c r="CZ33" i="8"/>
  <c r="CZ34" i="8"/>
  <c r="CZ35" i="8"/>
  <c r="CZ41" i="8"/>
  <c r="CZ48" i="8"/>
  <c r="DA9" i="8"/>
  <c r="DA11" i="8"/>
  <c r="DA14" i="8"/>
  <c r="DA20" i="8"/>
  <c r="DA30" i="8"/>
  <c r="DA32" i="8"/>
  <c r="DA33" i="8"/>
  <c r="DA34" i="8"/>
  <c r="DA35" i="8"/>
  <c r="DA41" i="8"/>
  <c r="DA48" i="8"/>
  <c r="DB9" i="8"/>
  <c r="DB11" i="8"/>
  <c r="DB14" i="8"/>
  <c r="DB20" i="8"/>
  <c r="DB30" i="8"/>
  <c r="DB32" i="8"/>
  <c r="DB33" i="8"/>
  <c r="DB34" i="8"/>
  <c r="DB35" i="8"/>
  <c r="DB41" i="8"/>
  <c r="DB48" i="8"/>
  <c r="DC9" i="8"/>
  <c r="DC11" i="8"/>
  <c r="DC14" i="8"/>
  <c r="DC20" i="8"/>
  <c r="DC30" i="8"/>
  <c r="DC32" i="8"/>
  <c r="DC33" i="8"/>
  <c r="DC34" i="8"/>
  <c r="DC35" i="8"/>
  <c r="DC41" i="8"/>
  <c r="DC48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H8" i="13"/>
  <c r="H12" i="13"/>
  <c r="H18" i="13"/>
  <c r="H27" i="13"/>
  <c r="H29" i="13"/>
  <c r="H30" i="13"/>
  <c r="H31" i="13"/>
  <c r="H37" i="13"/>
  <c r="H44" i="13"/>
  <c r="I8" i="13"/>
  <c r="I12" i="13"/>
  <c r="I18" i="13"/>
  <c r="I27" i="13"/>
  <c r="I29" i="13"/>
  <c r="I30" i="13"/>
  <c r="I31" i="13"/>
  <c r="I37" i="13"/>
  <c r="I44" i="13"/>
  <c r="J8" i="13"/>
  <c r="J12" i="13"/>
  <c r="J18" i="13"/>
  <c r="J27" i="13"/>
  <c r="J29" i="13"/>
  <c r="J30" i="13"/>
  <c r="J31" i="13"/>
  <c r="J37" i="13"/>
  <c r="J44" i="13"/>
  <c r="K8" i="13"/>
  <c r="K12" i="13"/>
  <c r="K18" i="13"/>
  <c r="K27" i="13"/>
  <c r="K29" i="13"/>
  <c r="K30" i="13"/>
  <c r="K31" i="13"/>
  <c r="K37" i="13"/>
  <c r="K44" i="13"/>
  <c r="L8" i="13"/>
  <c r="L12" i="13"/>
  <c r="L18" i="13"/>
  <c r="L27" i="13"/>
  <c r="L29" i="13"/>
  <c r="L30" i="13"/>
  <c r="L31" i="13"/>
  <c r="L37" i="13"/>
  <c r="L44" i="13"/>
  <c r="M8" i="13"/>
  <c r="M12" i="13"/>
  <c r="M18" i="13"/>
  <c r="M27" i="13"/>
  <c r="M29" i="13"/>
  <c r="M30" i="13"/>
  <c r="M31" i="13"/>
  <c r="M37" i="13"/>
  <c r="M44" i="13"/>
  <c r="N8" i="13"/>
  <c r="N12" i="13"/>
  <c r="N18" i="13"/>
  <c r="N27" i="13"/>
  <c r="N29" i="13"/>
  <c r="N30" i="13"/>
  <c r="N31" i="13"/>
  <c r="N37" i="13"/>
  <c r="N44" i="13"/>
  <c r="O8" i="13"/>
  <c r="O12" i="13"/>
  <c r="O18" i="13"/>
  <c r="O27" i="13"/>
  <c r="O29" i="13"/>
  <c r="O30" i="13"/>
  <c r="O31" i="13"/>
  <c r="O37" i="13"/>
  <c r="O44" i="13"/>
  <c r="P8" i="13"/>
  <c r="P12" i="13"/>
  <c r="P18" i="13"/>
  <c r="P27" i="13"/>
  <c r="P29" i="13"/>
  <c r="P30" i="13"/>
  <c r="P31" i="13"/>
  <c r="P37" i="13"/>
  <c r="P44" i="13"/>
  <c r="Q8" i="13"/>
  <c r="Q12" i="13"/>
  <c r="Q18" i="13"/>
  <c r="Q27" i="13"/>
  <c r="Q29" i="13"/>
  <c r="Q30" i="13"/>
  <c r="Q31" i="13"/>
  <c r="Q37" i="13"/>
  <c r="Q44" i="13"/>
  <c r="R8" i="13"/>
  <c r="R12" i="13"/>
  <c r="R18" i="13"/>
  <c r="R27" i="13"/>
  <c r="R29" i="13"/>
  <c r="R30" i="13"/>
  <c r="R31" i="13"/>
  <c r="R37" i="13"/>
  <c r="R44" i="13"/>
  <c r="S8" i="13"/>
  <c r="S12" i="13"/>
  <c r="S18" i="13"/>
  <c r="S27" i="13"/>
  <c r="S29" i="13"/>
  <c r="S30" i="13"/>
  <c r="S31" i="13"/>
  <c r="S37" i="13"/>
  <c r="S44" i="13"/>
  <c r="T8" i="13"/>
  <c r="T12" i="13"/>
  <c r="T18" i="13"/>
  <c r="T27" i="13"/>
  <c r="T29" i="13"/>
  <c r="T30" i="13"/>
  <c r="T31" i="13"/>
  <c r="T37" i="13"/>
  <c r="T44" i="13"/>
  <c r="U8" i="13"/>
  <c r="U12" i="13"/>
  <c r="U18" i="13"/>
  <c r="U27" i="13"/>
  <c r="U29" i="13"/>
  <c r="U30" i="13"/>
  <c r="U31" i="13"/>
  <c r="U37" i="13"/>
  <c r="U44" i="13"/>
  <c r="V8" i="13"/>
  <c r="V12" i="13"/>
  <c r="V18" i="13"/>
  <c r="V27" i="13"/>
  <c r="V29" i="13"/>
  <c r="V30" i="13"/>
  <c r="V31" i="13"/>
  <c r="V37" i="13"/>
  <c r="V44" i="13"/>
  <c r="W8" i="13"/>
  <c r="W12" i="13"/>
  <c r="W18" i="13"/>
  <c r="W27" i="13"/>
  <c r="W29" i="13"/>
  <c r="W30" i="13"/>
  <c r="W31" i="13"/>
  <c r="W37" i="13"/>
  <c r="W44" i="13"/>
  <c r="X8" i="13"/>
  <c r="X12" i="13"/>
  <c r="X18" i="13"/>
  <c r="X27" i="13"/>
  <c r="X29" i="13"/>
  <c r="X30" i="13"/>
  <c r="X31" i="13"/>
  <c r="X37" i="13"/>
  <c r="X44" i="13"/>
  <c r="Y8" i="13"/>
  <c r="Y12" i="13"/>
  <c r="Y18" i="13"/>
  <c r="Y27" i="13"/>
  <c r="Y29" i="13"/>
  <c r="Y30" i="13"/>
  <c r="Y31" i="13"/>
  <c r="Y37" i="13"/>
  <c r="Y44" i="13"/>
  <c r="Z8" i="13"/>
  <c r="Z12" i="13"/>
  <c r="Z18" i="13"/>
  <c r="Z27" i="13"/>
  <c r="Z29" i="13"/>
  <c r="Z30" i="13"/>
  <c r="Z31" i="13"/>
  <c r="Z37" i="13"/>
  <c r="Z44" i="13"/>
  <c r="AA8" i="13"/>
  <c r="AA12" i="13"/>
  <c r="AA18" i="13"/>
  <c r="AA27" i="13"/>
  <c r="AA29" i="13"/>
  <c r="AA30" i="13"/>
  <c r="AA31" i="13"/>
  <c r="AA37" i="13"/>
  <c r="AA44" i="13"/>
  <c r="AB8" i="13"/>
  <c r="AB12" i="13"/>
  <c r="AB18" i="13"/>
  <c r="AB27" i="13"/>
  <c r="AB29" i="13"/>
  <c r="AB30" i="13"/>
  <c r="AB31" i="13"/>
  <c r="AB37" i="13"/>
  <c r="AB44" i="13"/>
  <c r="AC8" i="13"/>
  <c r="AC12" i="13"/>
  <c r="AC18" i="13"/>
  <c r="AC27" i="13"/>
  <c r="AC29" i="13"/>
  <c r="AC30" i="13"/>
  <c r="AC31" i="13"/>
  <c r="AC37" i="13"/>
  <c r="AC44" i="13"/>
  <c r="AD8" i="13"/>
  <c r="AD12" i="13"/>
  <c r="AD18" i="13"/>
  <c r="AD27" i="13"/>
  <c r="AD29" i="13"/>
  <c r="AD30" i="13"/>
  <c r="AD31" i="13"/>
  <c r="AD37" i="13"/>
  <c r="AD44" i="13"/>
  <c r="AE8" i="13"/>
  <c r="AE12" i="13"/>
  <c r="AE18" i="13"/>
  <c r="AE27" i="13"/>
  <c r="AE29" i="13"/>
  <c r="AE30" i="13"/>
  <c r="AE31" i="13"/>
  <c r="AE37" i="13"/>
  <c r="AE44" i="13"/>
  <c r="AF8" i="13"/>
  <c r="AF12" i="13"/>
  <c r="AF18" i="13"/>
  <c r="AF27" i="13"/>
  <c r="AF29" i="13"/>
  <c r="AF30" i="13"/>
  <c r="AF31" i="13"/>
  <c r="AF37" i="13"/>
  <c r="AF44" i="13"/>
  <c r="AG8" i="13"/>
  <c r="AG12" i="13"/>
  <c r="AG18" i="13"/>
  <c r="AG27" i="13"/>
  <c r="AG29" i="13"/>
  <c r="AG30" i="13"/>
  <c r="AG31" i="13"/>
  <c r="AG37" i="13"/>
  <c r="AG44" i="13"/>
  <c r="AH8" i="13"/>
  <c r="AH12" i="13"/>
  <c r="AH18" i="13"/>
  <c r="AH27" i="13"/>
  <c r="AH29" i="13"/>
  <c r="AH30" i="13"/>
  <c r="AH31" i="13"/>
  <c r="AH37" i="13"/>
  <c r="AH44" i="13"/>
  <c r="AI8" i="13"/>
  <c r="AI12" i="13"/>
  <c r="AI18" i="13"/>
  <c r="AI27" i="13"/>
  <c r="AI29" i="13"/>
  <c r="AI30" i="13"/>
  <c r="AI31" i="13"/>
  <c r="AI37" i="13"/>
  <c r="AI44" i="13"/>
  <c r="AJ8" i="13"/>
  <c r="AJ12" i="13"/>
  <c r="AJ18" i="13"/>
  <c r="AJ27" i="13"/>
  <c r="AJ29" i="13"/>
  <c r="AJ30" i="13"/>
  <c r="AJ31" i="13"/>
  <c r="AJ37" i="13"/>
  <c r="AJ44" i="13"/>
  <c r="AK8" i="13"/>
  <c r="AK12" i="13"/>
  <c r="AK18" i="13"/>
  <c r="AK27" i="13"/>
  <c r="AK29" i="13"/>
  <c r="AK30" i="13"/>
  <c r="AK31" i="13"/>
  <c r="AK37" i="13"/>
  <c r="AK44" i="13"/>
  <c r="AL8" i="13"/>
  <c r="AL12" i="13"/>
  <c r="AL18" i="13"/>
  <c r="AL27" i="13"/>
  <c r="AL29" i="13"/>
  <c r="AL30" i="13"/>
  <c r="AL31" i="13"/>
  <c r="AL37" i="13"/>
  <c r="AL44" i="13"/>
  <c r="AM8" i="13"/>
  <c r="AM12" i="13"/>
  <c r="AM18" i="13"/>
  <c r="AM27" i="13"/>
  <c r="AM29" i="13"/>
  <c r="AM30" i="13"/>
  <c r="AM31" i="13"/>
  <c r="AM37" i="13"/>
  <c r="AM44" i="13"/>
  <c r="AN8" i="13"/>
  <c r="AN12" i="13"/>
  <c r="AN18" i="13"/>
  <c r="AN27" i="13"/>
  <c r="AN29" i="13"/>
  <c r="AN30" i="13"/>
  <c r="AN31" i="13"/>
  <c r="AN37" i="13"/>
  <c r="AN44" i="13"/>
  <c r="AO8" i="13"/>
  <c r="AO12" i="13"/>
  <c r="AO18" i="13"/>
  <c r="AO27" i="13"/>
  <c r="AO29" i="13"/>
  <c r="AO30" i="13"/>
  <c r="AO31" i="13"/>
  <c r="AO37" i="13"/>
  <c r="AO44" i="13"/>
  <c r="AP8" i="13"/>
  <c r="AP12" i="13"/>
  <c r="AP18" i="13"/>
  <c r="AP27" i="13"/>
  <c r="AP29" i="13"/>
  <c r="AP30" i="13"/>
  <c r="AP31" i="13"/>
  <c r="AP37" i="13"/>
  <c r="AP44" i="13"/>
  <c r="AQ8" i="13"/>
  <c r="AQ12" i="13"/>
  <c r="AQ18" i="13"/>
  <c r="AQ27" i="13"/>
  <c r="AQ29" i="13"/>
  <c r="AQ30" i="13"/>
  <c r="AQ31" i="13"/>
  <c r="AQ37" i="13"/>
  <c r="AQ44" i="13"/>
  <c r="AR8" i="13"/>
  <c r="AR12" i="13"/>
  <c r="AR18" i="13"/>
  <c r="AR27" i="13"/>
  <c r="AR29" i="13"/>
  <c r="AR30" i="13"/>
  <c r="AR31" i="13"/>
  <c r="AR37" i="13"/>
  <c r="AR44" i="13"/>
  <c r="AS8" i="13"/>
  <c r="AS12" i="13"/>
  <c r="AS18" i="13"/>
  <c r="AS27" i="13"/>
  <c r="AS29" i="13"/>
  <c r="AS30" i="13"/>
  <c r="AS31" i="13"/>
  <c r="AS37" i="13"/>
  <c r="AS44" i="13"/>
  <c r="AT8" i="13"/>
  <c r="AT12" i="13"/>
  <c r="AT18" i="13"/>
  <c r="AT27" i="13"/>
  <c r="AT29" i="13"/>
  <c r="AT30" i="13"/>
  <c r="AT31" i="13"/>
  <c r="AT37" i="13"/>
  <c r="AT44" i="13"/>
  <c r="AU8" i="13"/>
  <c r="AU12" i="13"/>
  <c r="AU18" i="13"/>
  <c r="AU27" i="13"/>
  <c r="AU29" i="13"/>
  <c r="AU30" i="13"/>
  <c r="AU31" i="13"/>
  <c r="AU37" i="13"/>
  <c r="AU44" i="13"/>
  <c r="AV8" i="13"/>
  <c r="AV12" i="13"/>
  <c r="AV18" i="13"/>
  <c r="AV27" i="13"/>
  <c r="AV29" i="13"/>
  <c r="AV30" i="13"/>
  <c r="AV31" i="13"/>
  <c r="AV37" i="13"/>
  <c r="AV44" i="13"/>
  <c r="AW8" i="13"/>
  <c r="AW12" i="13"/>
  <c r="AW18" i="13"/>
  <c r="AW27" i="13"/>
  <c r="AW29" i="13"/>
  <c r="AW30" i="13"/>
  <c r="AW31" i="13"/>
  <c r="AW37" i="13"/>
  <c r="AW44" i="13"/>
  <c r="AX8" i="13"/>
  <c r="AX12" i="13"/>
  <c r="AX18" i="13"/>
  <c r="AX27" i="13"/>
  <c r="AX29" i="13"/>
  <c r="AX30" i="13"/>
  <c r="AX31" i="13"/>
  <c r="AX37" i="13"/>
  <c r="AX44" i="13"/>
  <c r="AY8" i="13"/>
  <c r="AY12" i="13"/>
  <c r="AY18" i="13"/>
  <c r="AY27" i="13"/>
  <c r="AY29" i="13"/>
  <c r="AY30" i="13"/>
  <c r="AY31" i="13"/>
  <c r="AY37" i="13"/>
  <c r="AY44" i="13"/>
  <c r="AZ8" i="13"/>
  <c r="AZ12" i="13"/>
  <c r="AZ18" i="13"/>
  <c r="AZ27" i="13"/>
  <c r="AZ29" i="13"/>
  <c r="AZ30" i="13"/>
  <c r="AZ31" i="13"/>
  <c r="AZ37" i="13"/>
  <c r="AZ44" i="13"/>
  <c r="BA8" i="13"/>
  <c r="BA12" i="13"/>
  <c r="BA18" i="13"/>
  <c r="BA27" i="13"/>
  <c r="BA29" i="13"/>
  <c r="BA30" i="13"/>
  <c r="BA31" i="13"/>
  <c r="BA37" i="13"/>
  <c r="BA44" i="13"/>
  <c r="BB8" i="13"/>
  <c r="BB12" i="13"/>
  <c r="BB18" i="13"/>
  <c r="BB27" i="13"/>
  <c r="BB29" i="13"/>
  <c r="BB30" i="13"/>
  <c r="BB31" i="13"/>
  <c r="BB37" i="13"/>
  <c r="BB44" i="13"/>
  <c r="BC8" i="13"/>
  <c r="BC12" i="13"/>
  <c r="BC18" i="13"/>
  <c r="BC27" i="13"/>
  <c r="BC29" i="13"/>
  <c r="BC30" i="13"/>
  <c r="BC31" i="13"/>
  <c r="BC37" i="13"/>
  <c r="BC44" i="13"/>
  <c r="BD8" i="13"/>
  <c r="BD12" i="13"/>
  <c r="BD18" i="13"/>
  <c r="BD27" i="13"/>
  <c r="BD29" i="13"/>
  <c r="BD30" i="13"/>
  <c r="BD31" i="13"/>
  <c r="BD37" i="13"/>
  <c r="BD44" i="13"/>
  <c r="BE8" i="13"/>
  <c r="BE12" i="13"/>
  <c r="BE18" i="13"/>
  <c r="BE27" i="13"/>
  <c r="BE29" i="13"/>
  <c r="BE30" i="13"/>
  <c r="BE31" i="13"/>
  <c r="BE37" i="13"/>
  <c r="BE44" i="13"/>
  <c r="BF8" i="13"/>
  <c r="BF12" i="13"/>
  <c r="BF18" i="13"/>
  <c r="BF27" i="13"/>
  <c r="BF29" i="13"/>
  <c r="BF30" i="13"/>
  <c r="BF31" i="13"/>
  <c r="BF37" i="13"/>
  <c r="BF44" i="13"/>
  <c r="BG8" i="13"/>
  <c r="BG12" i="13"/>
  <c r="BG18" i="13"/>
  <c r="BG27" i="13"/>
  <c r="BG29" i="13"/>
  <c r="BG30" i="13"/>
  <c r="BG31" i="13"/>
  <c r="BG37" i="13"/>
  <c r="BG44" i="13"/>
  <c r="BH8" i="13"/>
  <c r="BH12" i="13"/>
  <c r="BH18" i="13"/>
  <c r="BH27" i="13"/>
  <c r="BH29" i="13"/>
  <c r="BH30" i="13"/>
  <c r="BH31" i="13"/>
  <c r="BH37" i="13"/>
  <c r="BH44" i="13"/>
  <c r="BI8" i="13"/>
  <c r="BI12" i="13"/>
  <c r="BI18" i="13"/>
  <c r="BI27" i="13"/>
  <c r="BI29" i="13"/>
  <c r="BI30" i="13"/>
  <c r="BI31" i="13"/>
  <c r="BI37" i="13"/>
  <c r="BI44" i="13"/>
  <c r="BJ8" i="13"/>
  <c r="BJ12" i="13"/>
  <c r="BJ18" i="13"/>
  <c r="BJ27" i="13"/>
  <c r="BJ29" i="13"/>
  <c r="BJ30" i="13"/>
  <c r="BJ31" i="13"/>
  <c r="BJ37" i="13"/>
  <c r="BJ44" i="13"/>
  <c r="BK8" i="13"/>
  <c r="BK12" i="13"/>
  <c r="BK18" i="13"/>
  <c r="BK27" i="13"/>
  <c r="BK29" i="13"/>
  <c r="BK30" i="13"/>
  <c r="BK31" i="13"/>
  <c r="BK37" i="13"/>
  <c r="BK44" i="13"/>
  <c r="BL8" i="13"/>
  <c r="BL12" i="13"/>
  <c r="BL18" i="13"/>
  <c r="BL27" i="13"/>
  <c r="BL29" i="13"/>
  <c r="BL30" i="13"/>
  <c r="BL31" i="13"/>
  <c r="BL37" i="13"/>
  <c r="BL44" i="13"/>
  <c r="BM8" i="13"/>
  <c r="BM12" i="13"/>
  <c r="BM18" i="13"/>
  <c r="BM27" i="13"/>
  <c r="BM29" i="13"/>
  <c r="BM30" i="13"/>
  <c r="BM31" i="13"/>
  <c r="BM37" i="13"/>
  <c r="BM44" i="13"/>
  <c r="BN8" i="13"/>
  <c r="BN12" i="13"/>
  <c r="BN18" i="13"/>
  <c r="BN27" i="13"/>
  <c r="BN29" i="13"/>
  <c r="BN30" i="13"/>
  <c r="BN31" i="13"/>
  <c r="BN37" i="13"/>
  <c r="BN44" i="13"/>
  <c r="BO8" i="13"/>
  <c r="BO12" i="13"/>
  <c r="BO18" i="13"/>
  <c r="BO27" i="13"/>
  <c r="BO29" i="13"/>
  <c r="BO30" i="13"/>
  <c r="BO31" i="13"/>
  <c r="BO37" i="13"/>
  <c r="BO44" i="13"/>
  <c r="BP8" i="13"/>
  <c r="BP12" i="13"/>
  <c r="BP18" i="13"/>
  <c r="BP27" i="13"/>
  <c r="BP29" i="13"/>
  <c r="BP30" i="13"/>
  <c r="BP31" i="13"/>
  <c r="BP37" i="13"/>
  <c r="BP44" i="13"/>
  <c r="BQ8" i="13"/>
  <c r="BQ12" i="13"/>
  <c r="BQ18" i="13"/>
  <c r="BQ27" i="13"/>
  <c r="BQ29" i="13"/>
  <c r="BQ30" i="13"/>
  <c r="BQ31" i="13"/>
  <c r="BQ37" i="13"/>
  <c r="BQ44" i="13"/>
  <c r="BR8" i="13"/>
  <c r="BR12" i="13"/>
  <c r="BR18" i="13"/>
  <c r="BR27" i="13"/>
  <c r="BR29" i="13"/>
  <c r="BR30" i="13"/>
  <c r="BR31" i="13"/>
  <c r="BR37" i="13"/>
  <c r="BR44" i="13"/>
  <c r="BS8" i="13"/>
  <c r="BS12" i="13"/>
  <c r="BS18" i="13"/>
  <c r="BS27" i="13"/>
  <c r="BS29" i="13"/>
  <c r="BS30" i="13"/>
  <c r="BS31" i="13"/>
  <c r="BS37" i="13"/>
  <c r="BS44" i="13"/>
  <c r="BT8" i="13"/>
  <c r="BT12" i="13"/>
  <c r="BT18" i="13"/>
  <c r="BT27" i="13"/>
  <c r="BT29" i="13"/>
  <c r="BT30" i="13"/>
  <c r="BT31" i="13"/>
  <c r="BT37" i="13"/>
  <c r="BT44" i="13"/>
  <c r="BU8" i="13"/>
  <c r="BU12" i="13"/>
  <c r="BU18" i="13"/>
  <c r="BU27" i="13"/>
  <c r="BU29" i="13"/>
  <c r="BU30" i="13"/>
  <c r="BU31" i="13"/>
  <c r="BU37" i="13"/>
  <c r="BU44" i="13"/>
  <c r="BV8" i="13"/>
  <c r="BV12" i="13"/>
  <c r="BV18" i="13"/>
  <c r="BV27" i="13"/>
  <c r="BV29" i="13"/>
  <c r="BV30" i="13"/>
  <c r="BV31" i="13"/>
  <c r="BV37" i="13"/>
  <c r="BV44" i="13"/>
  <c r="BW8" i="13"/>
  <c r="BW12" i="13"/>
  <c r="BW18" i="13"/>
  <c r="BW27" i="13"/>
  <c r="BW29" i="13"/>
  <c r="BW30" i="13"/>
  <c r="BW31" i="13"/>
  <c r="BW37" i="13"/>
  <c r="BW44" i="13"/>
  <c r="BX8" i="13"/>
  <c r="BX12" i="13"/>
  <c r="BX18" i="13"/>
  <c r="BX27" i="13"/>
  <c r="BX29" i="13"/>
  <c r="BX30" i="13"/>
  <c r="BX31" i="13"/>
  <c r="BX37" i="13"/>
  <c r="BX44" i="13"/>
  <c r="BY8" i="13"/>
  <c r="BY12" i="13"/>
  <c r="BY18" i="13"/>
  <c r="BY27" i="13"/>
  <c r="BY29" i="13"/>
  <c r="BY30" i="13"/>
  <c r="BY31" i="13"/>
  <c r="BY37" i="13"/>
  <c r="BY44" i="13"/>
  <c r="BZ8" i="13"/>
  <c r="BZ12" i="13"/>
  <c r="BZ18" i="13"/>
  <c r="BZ27" i="13"/>
  <c r="BZ29" i="13"/>
  <c r="BZ30" i="13"/>
  <c r="BZ31" i="13"/>
  <c r="BZ37" i="13"/>
  <c r="BZ44" i="13"/>
  <c r="CA8" i="13"/>
  <c r="CA12" i="13"/>
  <c r="CA18" i="13"/>
  <c r="CA27" i="13"/>
  <c r="CA29" i="13"/>
  <c r="CA30" i="13"/>
  <c r="CA31" i="13"/>
  <c r="CA37" i="13"/>
  <c r="CA44" i="13"/>
  <c r="CB8" i="13"/>
  <c r="CB12" i="13"/>
  <c r="CB18" i="13"/>
  <c r="CB27" i="13"/>
  <c r="CB29" i="13"/>
  <c r="CB30" i="13"/>
  <c r="CB31" i="13"/>
  <c r="CB37" i="13"/>
  <c r="CB44" i="13"/>
  <c r="CC8" i="13"/>
  <c r="CC12" i="13"/>
  <c r="CC18" i="13"/>
  <c r="CC27" i="13"/>
  <c r="CC29" i="13"/>
  <c r="CC30" i="13"/>
  <c r="CC31" i="13"/>
  <c r="CC37" i="13"/>
  <c r="CC44" i="13"/>
  <c r="CD8" i="13"/>
  <c r="CD12" i="13"/>
  <c r="CD18" i="13"/>
  <c r="CD27" i="13"/>
  <c r="CD29" i="13"/>
  <c r="CD30" i="13"/>
  <c r="CD31" i="13"/>
  <c r="CD37" i="13"/>
  <c r="CD44" i="13"/>
  <c r="CE8" i="13"/>
  <c r="CE12" i="13"/>
  <c r="CE18" i="13"/>
  <c r="CE27" i="13"/>
  <c r="CE29" i="13"/>
  <c r="CE30" i="13"/>
  <c r="CE31" i="13"/>
  <c r="CE37" i="13"/>
  <c r="CE44" i="13"/>
  <c r="CF8" i="13"/>
  <c r="CF12" i="13"/>
  <c r="CF18" i="13"/>
  <c r="CF27" i="13"/>
  <c r="CF29" i="13"/>
  <c r="CF30" i="13"/>
  <c r="CF31" i="13"/>
  <c r="CF37" i="13"/>
  <c r="CF44" i="13"/>
  <c r="CG8" i="13"/>
  <c r="CG12" i="13"/>
  <c r="CG18" i="13"/>
  <c r="CG27" i="13"/>
  <c r="CG29" i="13"/>
  <c r="CG30" i="13"/>
  <c r="CG31" i="13"/>
  <c r="CG37" i="13"/>
  <c r="CG44" i="13"/>
  <c r="CH8" i="13"/>
  <c r="CH12" i="13"/>
  <c r="CH18" i="13"/>
  <c r="CH27" i="13"/>
  <c r="CH29" i="13"/>
  <c r="CH30" i="13"/>
  <c r="CH31" i="13"/>
  <c r="CH37" i="13"/>
  <c r="CH44" i="13"/>
  <c r="CI8" i="13"/>
  <c r="CI12" i="13"/>
  <c r="CI18" i="13"/>
  <c r="CI27" i="13"/>
  <c r="CI29" i="13"/>
  <c r="CI30" i="13"/>
  <c r="CI31" i="13"/>
  <c r="CI37" i="13"/>
  <c r="CI44" i="13"/>
  <c r="CJ8" i="13"/>
  <c r="CJ12" i="13"/>
  <c r="CJ18" i="13"/>
  <c r="CJ27" i="13"/>
  <c r="CJ29" i="13"/>
  <c r="CJ30" i="13"/>
  <c r="CJ31" i="13"/>
  <c r="CJ37" i="13"/>
  <c r="CJ44" i="13"/>
  <c r="CK8" i="13"/>
  <c r="CK12" i="13"/>
  <c r="CK18" i="13"/>
  <c r="CK27" i="13"/>
  <c r="CK29" i="13"/>
  <c r="CK30" i="13"/>
  <c r="CK31" i="13"/>
  <c r="CK37" i="13"/>
  <c r="CK44" i="13"/>
  <c r="CL8" i="13"/>
  <c r="CL12" i="13"/>
  <c r="CL18" i="13"/>
  <c r="CL27" i="13"/>
  <c r="CL29" i="13"/>
  <c r="CL30" i="13"/>
  <c r="CL31" i="13"/>
  <c r="CL37" i="13"/>
  <c r="CL44" i="13"/>
  <c r="CM8" i="13"/>
  <c r="CM12" i="13"/>
  <c r="CM18" i="13"/>
  <c r="CM27" i="13"/>
  <c r="CM29" i="13"/>
  <c r="CM30" i="13"/>
  <c r="CM31" i="13"/>
  <c r="CM37" i="13"/>
  <c r="CM44" i="13"/>
  <c r="CN8" i="13"/>
  <c r="CN12" i="13"/>
  <c r="CN18" i="13"/>
  <c r="CN27" i="13"/>
  <c r="CN29" i="13"/>
  <c r="CN30" i="13"/>
  <c r="CN31" i="13"/>
  <c r="CN37" i="13"/>
  <c r="CN44" i="13"/>
  <c r="CO8" i="13"/>
  <c r="CO12" i="13"/>
  <c r="CO18" i="13"/>
  <c r="CO27" i="13"/>
  <c r="CO29" i="13"/>
  <c r="CO30" i="13"/>
  <c r="CO31" i="13"/>
  <c r="CO37" i="13"/>
  <c r="CO44" i="13"/>
  <c r="CP8" i="13"/>
  <c r="CP12" i="13"/>
  <c r="CP18" i="13"/>
  <c r="CP27" i="13"/>
  <c r="CP29" i="13"/>
  <c r="CP30" i="13"/>
  <c r="CP31" i="13"/>
  <c r="CP37" i="13"/>
  <c r="CP44" i="13"/>
  <c r="CQ8" i="13"/>
  <c r="CQ12" i="13"/>
  <c r="CQ18" i="13"/>
  <c r="CQ27" i="13"/>
  <c r="CQ29" i="13"/>
  <c r="CQ30" i="13"/>
  <c r="CQ31" i="13"/>
  <c r="CQ37" i="13"/>
  <c r="CQ44" i="13"/>
  <c r="CR8" i="13"/>
  <c r="CR12" i="13"/>
  <c r="CR18" i="13"/>
  <c r="CR27" i="13"/>
  <c r="CR29" i="13"/>
  <c r="CR30" i="13"/>
  <c r="CR31" i="13"/>
  <c r="CR37" i="13"/>
  <c r="CR44" i="13"/>
  <c r="CS8" i="13"/>
  <c r="CS12" i="13"/>
  <c r="CS18" i="13"/>
  <c r="CS27" i="13"/>
  <c r="CS29" i="13"/>
  <c r="CS30" i="13"/>
  <c r="CS31" i="13"/>
  <c r="CS37" i="13"/>
  <c r="CS44" i="13"/>
  <c r="CT8" i="13"/>
  <c r="CT12" i="13"/>
  <c r="CT18" i="13"/>
  <c r="CT27" i="13"/>
  <c r="CT29" i="13"/>
  <c r="CT30" i="13"/>
  <c r="CT31" i="13"/>
  <c r="CT37" i="13"/>
  <c r="CT44" i="13"/>
  <c r="CU8" i="13"/>
  <c r="CU12" i="13"/>
  <c r="CU18" i="13"/>
  <c r="CU27" i="13"/>
  <c r="CU29" i="13"/>
  <c r="CU30" i="13"/>
  <c r="CU31" i="13"/>
  <c r="CU37" i="13"/>
  <c r="CU44" i="13"/>
  <c r="CV8" i="13"/>
  <c r="CV12" i="13"/>
  <c r="CV18" i="13"/>
  <c r="CV27" i="13"/>
  <c r="CV29" i="13"/>
  <c r="CV30" i="13"/>
  <c r="CV31" i="13"/>
  <c r="CV37" i="13"/>
  <c r="CV44" i="13"/>
  <c r="CW8" i="13"/>
  <c r="CW12" i="13"/>
  <c r="CW18" i="13"/>
  <c r="CW27" i="13"/>
  <c r="CW29" i="13"/>
  <c r="CW30" i="13"/>
  <c r="CW31" i="13"/>
  <c r="CW37" i="13"/>
  <c r="CW44" i="13"/>
  <c r="CX8" i="13"/>
  <c r="CX12" i="13"/>
  <c r="CX18" i="13"/>
  <c r="CX27" i="13"/>
  <c r="CX29" i="13"/>
  <c r="CX30" i="13"/>
  <c r="CX31" i="13"/>
  <c r="CX37" i="13"/>
  <c r="CX44" i="13"/>
  <c r="CY8" i="13"/>
  <c r="CY12" i="13"/>
  <c r="CY18" i="13"/>
  <c r="CY27" i="13"/>
  <c r="CY29" i="13"/>
  <c r="CY30" i="13"/>
  <c r="CY31" i="13"/>
  <c r="CY37" i="13"/>
  <c r="CY44" i="13"/>
  <c r="CZ8" i="13"/>
  <c r="CZ12" i="13"/>
  <c r="CZ18" i="13"/>
  <c r="CZ27" i="13"/>
  <c r="CZ29" i="13"/>
  <c r="CZ30" i="13"/>
  <c r="CZ31" i="13"/>
  <c r="CZ37" i="13"/>
  <c r="CZ44" i="13"/>
  <c r="DA8" i="13"/>
  <c r="DA12" i="13"/>
  <c r="DA18" i="13"/>
  <c r="DA27" i="13"/>
  <c r="DA29" i="13"/>
  <c r="DA30" i="13"/>
  <c r="DA31" i="13"/>
  <c r="DA37" i="13"/>
  <c r="DA44" i="13"/>
  <c r="DB8" i="13"/>
  <c r="DB12" i="13"/>
  <c r="DB18" i="13"/>
  <c r="DB27" i="13"/>
  <c r="DB29" i="13"/>
  <c r="DB30" i="13"/>
  <c r="DB31" i="13"/>
  <c r="DB37" i="13"/>
  <c r="DB44" i="13"/>
  <c r="DC8" i="13"/>
  <c r="DC12" i="13"/>
  <c r="DC18" i="13"/>
  <c r="DC27" i="13"/>
  <c r="DC29" i="13"/>
  <c r="DC30" i="13"/>
  <c r="DC31" i="13"/>
  <c r="DC37" i="13"/>
  <c r="DC44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CF23" i="13"/>
  <c r="CG23" i="13"/>
  <c r="CH23" i="13"/>
  <c r="CI23" i="13"/>
  <c r="CJ23" i="13"/>
  <c r="CK23" i="13"/>
  <c r="CL23" i="13"/>
  <c r="CM23" i="13"/>
  <c r="CN23" i="13"/>
  <c r="CO23" i="13"/>
  <c r="CP23" i="13"/>
  <c r="CQ23" i="13"/>
  <c r="CR23" i="13"/>
  <c r="CS23" i="13"/>
  <c r="CT23" i="13"/>
  <c r="CU23" i="13"/>
  <c r="CV23" i="13"/>
  <c r="CW23" i="13"/>
  <c r="CX23" i="13"/>
  <c r="CY23" i="13"/>
  <c r="CZ23" i="13"/>
  <c r="DA23" i="13"/>
  <c r="DB23" i="13"/>
  <c r="DC23" i="13"/>
  <c r="H8" i="19"/>
  <c r="H10" i="19"/>
  <c r="H13" i="19"/>
  <c r="H19" i="19"/>
  <c r="H28" i="19"/>
  <c r="H30" i="19"/>
  <c r="H31" i="19"/>
  <c r="H32" i="19"/>
  <c r="H33" i="19"/>
  <c r="H39" i="19"/>
  <c r="H46" i="19"/>
  <c r="I8" i="19"/>
  <c r="I10" i="19"/>
  <c r="I13" i="19"/>
  <c r="I19" i="19"/>
  <c r="I28" i="19"/>
  <c r="I30" i="19"/>
  <c r="I31" i="19"/>
  <c r="I32" i="19"/>
  <c r="I33" i="19"/>
  <c r="I39" i="19"/>
  <c r="I46" i="19"/>
  <c r="J8" i="19"/>
  <c r="J10" i="19"/>
  <c r="J13" i="19"/>
  <c r="J19" i="19"/>
  <c r="J28" i="19"/>
  <c r="J30" i="19"/>
  <c r="J31" i="19"/>
  <c r="J32" i="19"/>
  <c r="J33" i="19"/>
  <c r="J39" i="19"/>
  <c r="J46" i="19"/>
  <c r="K8" i="19"/>
  <c r="K10" i="19"/>
  <c r="K13" i="19"/>
  <c r="K19" i="19"/>
  <c r="K28" i="19"/>
  <c r="K30" i="19"/>
  <c r="K31" i="19"/>
  <c r="K32" i="19"/>
  <c r="K33" i="19"/>
  <c r="K39" i="19"/>
  <c r="K46" i="19"/>
  <c r="L8" i="19"/>
  <c r="L10" i="19"/>
  <c r="L13" i="19"/>
  <c r="L19" i="19"/>
  <c r="L28" i="19"/>
  <c r="L30" i="19"/>
  <c r="L31" i="19"/>
  <c r="L32" i="19"/>
  <c r="L33" i="19"/>
  <c r="L39" i="19"/>
  <c r="L46" i="19"/>
  <c r="M8" i="19"/>
  <c r="M10" i="19"/>
  <c r="M13" i="19"/>
  <c r="M19" i="19"/>
  <c r="M28" i="19"/>
  <c r="M30" i="19"/>
  <c r="M31" i="19"/>
  <c r="M32" i="19"/>
  <c r="M33" i="19"/>
  <c r="M39" i="19"/>
  <c r="M46" i="19"/>
  <c r="N8" i="19"/>
  <c r="N10" i="19"/>
  <c r="N13" i="19"/>
  <c r="N19" i="19"/>
  <c r="N28" i="19"/>
  <c r="N30" i="19"/>
  <c r="N31" i="19"/>
  <c r="N32" i="19"/>
  <c r="N33" i="19"/>
  <c r="N39" i="19"/>
  <c r="N46" i="19"/>
  <c r="O8" i="19"/>
  <c r="O10" i="19"/>
  <c r="O13" i="19"/>
  <c r="O19" i="19"/>
  <c r="O28" i="19"/>
  <c r="O30" i="19"/>
  <c r="O31" i="19"/>
  <c r="O32" i="19"/>
  <c r="O33" i="19"/>
  <c r="O39" i="19"/>
  <c r="O46" i="19"/>
  <c r="P8" i="19"/>
  <c r="P10" i="19"/>
  <c r="P13" i="19"/>
  <c r="P19" i="19"/>
  <c r="P28" i="19"/>
  <c r="P30" i="19"/>
  <c r="P31" i="19"/>
  <c r="P32" i="19"/>
  <c r="P33" i="19"/>
  <c r="P39" i="19"/>
  <c r="P46" i="19"/>
  <c r="Q8" i="19"/>
  <c r="Q10" i="19"/>
  <c r="Q13" i="19"/>
  <c r="Q19" i="19"/>
  <c r="Q28" i="19"/>
  <c r="Q30" i="19"/>
  <c r="Q31" i="19"/>
  <c r="Q32" i="19"/>
  <c r="Q33" i="19"/>
  <c r="Q39" i="19"/>
  <c r="Q46" i="19"/>
  <c r="R8" i="19"/>
  <c r="R10" i="19"/>
  <c r="R13" i="19"/>
  <c r="R19" i="19"/>
  <c r="R28" i="19"/>
  <c r="R30" i="19"/>
  <c r="R31" i="19"/>
  <c r="R32" i="19"/>
  <c r="R33" i="19"/>
  <c r="R39" i="19"/>
  <c r="R46" i="19"/>
  <c r="S8" i="19"/>
  <c r="S10" i="19"/>
  <c r="S13" i="19"/>
  <c r="S19" i="19"/>
  <c r="S28" i="19"/>
  <c r="S30" i="19"/>
  <c r="S31" i="19"/>
  <c r="S32" i="19"/>
  <c r="S33" i="19"/>
  <c r="S39" i="19"/>
  <c r="S46" i="19"/>
  <c r="T8" i="19"/>
  <c r="T10" i="19"/>
  <c r="T13" i="19"/>
  <c r="T19" i="19"/>
  <c r="T28" i="19"/>
  <c r="T30" i="19"/>
  <c r="T31" i="19"/>
  <c r="T32" i="19"/>
  <c r="T33" i="19"/>
  <c r="T39" i="19"/>
  <c r="T46" i="19"/>
  <c r="U8" i="19"/>
  <c r="U10" i="19"/>
  <c r="U13" i="19"/>
  <c r="U19" i="19"/>
  <c r="U28" i="19"/>
  <c r="U30" i="19"/>
  <c r="U31" i="19"/>
  <c r="U32" i="19"/>
  <c r="U33" i="19"/>
  <c r="U39" i="19"/>
  <c r="U46" i="19"/>
  <c r="V8" i="19"/>
  <c r="V10" i="19"/>
  <c r="V13" i="19"/>
  <c r="V19" i="19"/>
  <c r="V28" i="19"/>
  <c r="V30" i="19"/>
  <c r="V31" i="19"/>
  <c r="V32" i="19"/>
  <c r="V33" i="19"/>
  <c r="V39" i="19"/>
  <c r="V46" i="19"/>
  <c r="W8" i="19"/>
  <c r="W10" i="19"/>
  <c r="W13" i="19"/>
  <c r="W19" i="19"/>
  <c r="W28" i="19"/>
  <c r="W30" i="19"/>
  <c r="W31" i="19"/>
  <c r="W32" i="19"/>
  <c r="W33" i="19"/>
  <c r="W39" i="19"/>
  <c r="W46" i="19"/>
  <c r="X8" i="19"/>
  <c r="X10" i="19"/>
  <c r="X13" i="19"/>
  <c r="X19" i="19"/>
  <c r="X28" i="19"/>
  <c r="X30" i="19"/>
  <c r="X31" i="19"/>
  <c r="X32" i="19"/>
  <c r="X33" i="19"/>
  <c r="X39" i="19"/>
  <c r="X46" i="19"/>
  <c r="Y8" i="19"/>
  <c r="Y10" i="19"/>
  <c r="Y13" i="19"/>
  <c r="Y19" i="19"/>
  <c r="Y28" i="19"/>
  <c r="Y30" i="19"/>
  <c r="Y31" i="19"/>
  <c r="Y32" i="19"/>
  <c r="Y33" i="19"/>
  <c r="Y39" i="19"/>
  <c r="Y46" i="19"/>
  <c r="Z8" i="19"/>
  <c r="Z10" i="19"/>
  <c r="Z13" i="19"/>
  <c r="Z19" i="19"/>
  <c r="Z28" i="19"/>
  <c r="Z30" i="19"/>
  <c r="Z31" i="19"/>
  <c r="Z32" i="19"/>
  <c r="Z33" i="19"/>
  <c r="Z39" i="19"/>
  <c r="Z46" i="19"/>
  <c r="AA8" i="19"/>
  <c r="AA10" i="19"/>
  <c r="AA13" i="19"/>
  <c r="AA19" i="19"/>
  <c r="AA28" i="19"/>
  <c r="AA30" i="19"/>
  <c r="AA31" i="19"/>
  <c r="AA32" i="19"/>
  <c r="AA33" i="19"/>
  <c r="AA39" i="19"/>
  <c r="AA46" i="19"/>
  <c r="AB8" i="19"/>
  <c r="AB10" i="19"/>
  <c r="AB13" i="19"/>
  <c r="AB19" i="19"/>
  <c r="AB28" i="19"/>
  <c r="AB30" i="19"/>
  <c r="AB31" i="19"/>
  <c r="AB32" i="19"/>
  <c r="AB33" i="19"/>
  <c r="AB39" i="19"/>
  <c r="AB46" i="19"/>
  <c r="AC8" i="19"/>
  <c r="AC10" i="19"/>
  <c r="AC13" i="19"/>
  <c r="AC19" i="19"/>
  <c r="AC28" i="19"/>
  <c r="AC30" i="19"/>
  <c r="AC31" i="19"/>
  <c r="AC32" i="19"/>
  <c r="AC33" i="19"/>
  <c r="AC39" i="19"/>
  <c r="AC46" i="19"/>
  <c r="AD8" i="19"/>
  <c r="AD10" i="19"/>
  <c r="AD13" i="19"/>
  <c r="AD19" i="19"/>
  <c r="AD28" i="19"/>
  <c r="AD30" i="19"/>
  <c r="AD31" i="19"/>
  <c r="AD32" i="19"/>
  <c r="AD33" i="19"/>
  <c r="AD39" i="19"/>
  <c r="AD46" i="19"/>
  <c r="AE8" i="19"/>
  <c r="AE10" i="19"/>
  <c r="AE13" i="19"/>
  <c r="AE19" i="19"/>
  <c r="AE28" i="19"/>
  <c r="AE30" i="19"/>
  <c r="AE31" i="19"/>
  <c r="AE32" i="19"/>
  <c r="AE33" i="19"/>
  <c r="AE39" i="19"/>
  <c r="AE46" i="19"/>
  <c r="AF8" i="19"/>
  <c r="AF10" i="19"/>
  <c r="AF13" i="19"/>
  <c r="AF19" i="19"/>
  <c r="AF28" i="19"/>
  <c r="AF30" i="19"/>
  <c r="AF31" i="19"/>
  <c r="AF32" i="19"/>
  <c r="AF33" i="19"/>
  <c r="AF39" i="19"/>
  <c r="AF46" i="19"/>
  <c r="AG8" i="19"/>
  <c r="AG10" i="19"/>
  <c r="AG13" i="19"/>
  <c r="AG19" i="19"/>
  <c r="AG28" i="19"/>
  <c r="AG30" i="19"/>
  <c r="AG31" i="19"/>
  <c r="AG32" i="19"/>
  <c r="AG33" i="19"/>
  <c r="AG39" i="19"/>
  <c r="AG46" i="19"/>
  <c r="AH8" i="19"/>
  <c r="AH10" i="19"/>
  <c r="AH13" i="19"/>
  <c r="AH19" i="19"/>
  <c r="AH28" i="19"/>
  <c r="AH30" i="19"/>
  <c r="AH31" i="19"/>
  <c r="AH32" i="19"/>
  <c r="AH33" i="19"/>
  <c r="AH39" i="19"/>
  <c r="AH46" i="19"/>
  <c r="AI8" i="19"/>
  <c r="AI10" i="19"/>
  <c r="AI13" i="19"/>
  <c r="AI19" i="19"/>
  <c r="AI28" i="19"/>
  <c r="AI30" i="19"/>
  <c r="AI31" i="19"/>
  <c r="AI32" i="19"/>
  <c r="AI33" i="19"/>
  <c r="AI39" i="19"/>
  <c r="AI46" i="19"/>
  <c r="AJ8" i="19"/>
  <c r="AJ10" i="19"/>
  <c r="AJ13" i="19"/>
  <c r="AJ19" i="19"/>
  <c r="AJ28" i="19"/>
  <c r="AJ30" i="19"/>
  <c r="AJ31" i="19"/>
  <c r="AJ32" i="19"/>
  <c r="AJ33" i="19"/>
  <c r="AJ39" i="19"/>
  <c r="AJ46" i="19"/>
  <c r="AK8" i="19"/>
  <c r="AK10" i="19"/>
  <c r="AK13" i="19"/>
  <c r="AK19" i="19"/>
  <c r="AK28" i="19"/>
  <c r="AK30" i="19"/>
  <c r="AK31" i="19"/>
  <c r="AK32" i="19"/>
  <c r="AK33" i="19"/>
  <c r="AK39" i="19"/>
  <c r="AK46" i="19"/>
  <c r="AL8" i="19"/>
  <c r="AL10" i="19"/>
  <c r="AL13" i="19"/>
  <c r="AL19" i="19"/>
  <c r="AL28" i="19"/>
  <c r="AL30" i="19"/>
  <c r="AL31" i="19"/>
  <c r="AL32" i="19"/>
  <c r="AL33" i="19"/>
  <c r="AL39" i="19"/>
  <c r="AL46" i="19"/>
  <c r="AM8" i="19"/>
  <c r="AM10" i="19"/>
  <c r="AM13" i="19"/>
  <c r="AM19" i="19"/>
  <c r="AM28" i="19"/>
  <c r="AM30" i="19"/>
  <c r="AM31" i="19"/>
  <c r="AM32" i="19"/>
  <c r="AM33" i="19"/>
  <c r="AM39" i="19"/>
  <c r="AM46" i="19"/>
  <c r="AN8" i="19"/>
  <c r="AN10" i="19"/>
  <c r="AN13" i="19"/>
  <c r="AN19" i="19"/>
  <c r="AN28" i="19"/>
  <c r="AN30" i="19"/>
  <c r="AN31" i="19"/>
  <c r="AN32" i="19"/>
  <c r="AN33" i="19"/>
  <c r="AN39" i="19"/>
  <c r="AN46" i="19"/>
  <c r="AO8" i="19"/>
  <c r="AO10" i="19"/>
  <c r="AO13" i="19"/>
  <c r="AO19" i="19"/>
  <c r="AO28" i="19"/>
  <c r="AO30" i="19"/>
  <c r="AO31" i="19"/>
  <c r="AO32" i="19"/>
  <c r="AO33" i="19"/>
  <c r="AO39" i="19"/>
  <c r="AO46" i="19"/>
  <c r="AP8" i="19"/>
  <c r="AP10" i="19"/>
  <c r="AP13" i="19"/>
  <c r="AP19" i="19"/>
  <c r="AP28" i="19"/>
  <c r="AP30" i="19"/>
  <c r="AP31" i="19"/>
  <c r="AP32" i="19"/>
  <c r="AP33" i="19"/>
  <c r="AP39" i="19"/>
  <c r="AP46" i="19"/>
  <c r="AQ8" i="19"/>
  <c r="AQ10" i="19"/>
  <c r="AQ13" i="19"/>
  <c r="AQ19" i="19"/>
  <c r="AQ28" i="19"/>
  <c r="AQ30" i="19"/>
  <c r="AQ31" i="19"/>
  <c r="AQ32" i="19"/>
  <c r="AQ33" i="19"/>
  <c r="AQ39" i="19"/>
  <c r="AQ46" i="19"/>
  <c r="AR8" i="19"/>
  <c r="AR10" i="19"/>
  <c r="AR13" i="19"/>
  <c r="AR19" i="19"/>
  <c r="AR28" i="19"/>
  <c r="AR30" i="19"/>
  <c r="AR31" i="19"/>
  <c r="AR32" i="19"/>
  <c r="AR33" i="19"/>
  <c r="AR39" i="19"/>
  <c r="AR46" i="19"/>
  <c r="AS8" i="19"/>
  <c r="AS10" i="19"/>
  <c r="AS13" i="19"/>
  <c r="AS19" i="19"/>
  <c r="AS28" i="19"/>
  <c r="AS30" i="19"/>
  <c r="AS31" i="19"/>
  <c r="AS32" i="19"/>
  <c r="AS33" i="19"/>
  <c r="AS39" i="19"/>
  <c r="AS46" i="19"/>
  <c r="AT8" i="19"/>
  <c r="AT10" i="19"/>
  <c r="AT13" i="19"/>
  <c r="AT19" i="19"/>
  <c r="AT28" i="19"/>
  <c r="AT30" i="19"/>
  <c r="AT31" i="19"/>
  <c r="AT32" i="19"/>
  <c r="AT33" i="19"/>
  <c r="AT39" i="19"/>
  <c r="AT46" i="19"/>
  <c r="AU8" i="19"/>
  <c r="AU10" i="19"/>
  <c r="AU13" i="19"/>
  <c r="AU19" i="19"/>
  <c r="AU28" i="19"/>
  <c r="AU30" i="19"/>
  <c r="AU31" i="19"/>
  <c r="AU32" i="19"/>
  <c r="AU33" i="19"/>
  <c r="AU39" i="19"/>
  <c r="AU46" i="19"/>
  <c r="AV8" i="19"/>
  <c r="AV10" i="19"/>
  <c r="AV13" i="19"/>
  <c r="AV19" i="19"/>
  <c r="AV28" i="19"/>
  <c r="AV30" i="19"/>
  <c r="AV31" i="19"/>
  <c r="AV32" i="19"/>
  <c r="AV33" i="19"/>
  <c r="AV39" i="19"/>
  <c r="AV46" i="19"/>
  <c r="AW8" i="19"/>
  <c r="AW10" i="19"/>
  <c r="AW13" i="19"/>
  <c r="AW19" i="19"/>
  <c r="AW28" i="19"/>
  <c r="AW30" i="19"/>
  <c r="AW31" i="19"/>
  <c r="AW32" i="19"/>
  <c r="AW33" i="19"/>
  <c r="AW39" i="19"/>
  <c r="AW46" i="19"/>
  <c r="AX8" i="19"/>
  <c r="AX10" i="19"/>
  <c r="AX13" i="19"/>
  <c r="AX19" i="19"/>
  <c r="AX28" i="19"/>
  <c r="AX30" i="19"/>
  <c r="AX31" i="19"/>
  <c r="AX32" i="19"/>
  <c r="AX33" i="19"/>
  <c r="AX39" i="19"/>
  <c r="AX46" i="19"/>
  <c r="AY8" i="19"/>
  <c r="AY10" i="19"/>
  <c r="AY13" i="19"/>
  <c r="AY19" i="19"/>
  <c r="AY28" i="19"/>
  <c r="AY30" i="19"/>
  <c r="AY31" i="19"/>
  <c r="AY32" i="19"/>
  <c r="AY33" i="19"/>
  <c r="AY39" i="19"/>
  <c r="AY46" i="19"/>
  <c r="AZ8" i="19"/>
  <c r="AZ10" i="19"/>
  <c r="AZ13" i="19"/>
  <c r="AZ19" i="19"/>
  <c r="AZ28" i="19"/>
  <c r="AZ30" i="19"/>
  <c r="AZ31" i="19"/>
  <c r="AZ32" i="19"/>
  <c r="AZ33" i="19"/>
  <c r="AZ39" i="19"/>
  <c r="AZ46" i="19"/>
  <c r="BA8" i="19"/>
  <c r="BA10" i="19"/>
  <c r="BA13" i="19"/>
  <c r="BA19" i="19"/>
  <c r="BA28" i="19"/>
  <c r="BA30" i="19"/>
  <c r="BA31" i="19"/>
  <c r="BA32" i="19"/>
  <c r="BA33" i="19"/>
  <c r="BA39" i="19"/>
  <c r="BA46" i="19"/>
  <c r="BB8" i="19"/>
  <c r="BB10" i="19"/>
  <c r="BB13" i="19"/>
  <c r="BB19" i="19"/>
  <c r="BB28" i="19"/>
  <c r="BB30" i="19"/>
  <c r="BB31" i="19"/>
  <c r="BB32" i="19"/>
  <c r="BB33" i="19"/>
  <c r="BB39" i="19"/>
  <c r="BB46" i="19"/>
  <c r="BC8" i="19"/>
  <c r="BC10" i="19"/>
  <c r="BC13" i="19"/>
  <c r="BC19" i="19"/>
  <c r="BC28" i="19"/>
  <c r="BC30" i="19"/>
  <c r="BC31" i="19"/>
  <c r="BC32" i="19"/>
  <c r="BC33" i="19"/>
  <c r="BC39" i="19"/>
  <c r="BC46" i="19"/>
  <c r="BD8" i="19"/>
  <c r="BD10" i="19"/>
  <c r="BD13" i="19"/>
  <c r="BD19" i="19"/>
  <c r="BD28" i="19"/>
  <c r="BD30" i="19"/>
  <c r="BD31" i="19"/>
  <c r="BD32" i="19"/>
  <c r="BD33" i="19"/>
  <c r="BD39" i="19"/>
  <c r="BD46" i="19"/>
  <c r="BE8" i="19"/>
  <c r="BE10" i="19"/>
  <c r="BE13" i="19"/>
  <c r="BE19" i="19"/>
  <c r="BE28" i="19"/>
  <c r="BE30" i="19"/>
  <c r="BE31" i="19"/>
  <c r="BE32" i="19"/>
  <c r="BE33" i="19"/>
  <c r="BE39" i="19"/>
  <c r="BE46" i="19"/>
  <c r="BF8" i="19"/>
  <c r="BF10" i="19"/>
  <c r="BF13" i="19"/>
  <c r="BF19" i="19"/>
  <c r="BF28" i="19"/>
  <c r="BF30" i="19"/>
  <c r="BF31" i="19"/>
  <c r="BF32" i="19"/>
  <c r="BF33" i="19"/>
  <c r="BF39" i="19"/>
  <c r="BF46" i="19"/>
  <c r="BG8" i="19"/>
  <c r="BG10" i="19"/>
  <c r="BG13" i="19"/>
  <c r="BG19" i="19"/>
  <c r="BG28" i="19"/>
  <c r="BG30" i="19"/>
  <c r="BG31" i="19"/>
  <c r="BG32" i="19"/>
  <c r="BG33" i="19"/>
  <c r="BG39" i="19"/>
  <c r="BG46" i="19"/>
  <c r="BH8" i="19"/>
  <c r="BH10" i="19"/>
  <c r="BH13" i="19"/>
  <c r="BH19" i="19"/>
  <c r="BH28" i="19"/>
  <c r="BH30" i="19"/>
  <c r="BH31" i="19"/>
  <c r="BH32" i="19"/>
  <c r="BH33" i="19"/>
  <c r="BH39" i="19"/>
  <c r="BH46" i="19"/>
  <c r="BI8" i="19"/>
  <c r="BI10" i="19"/>
  <c r="BI13" i="19"/>
  <c r="BI19" i="19"/>
  <c r="BI28" i="19"/>
  <c r="BI30" i="19"/>
  <c r="BI31" i="19"/>
  <c r="BI32" i="19"/>
  <c r="BI33" i="19"/>
  <c r="BI39" i="19"/>
  <c r="BI46" i="19"/>
  <c r="BJ8" i="19"/>
  <c r="BJ10" i="19"/>
  <c r="BJ13" i="19"/>
  <c r="BJ19" i="19"/>
  <c r="BJ28" i="19"/>
  <c r="BJ30" i="19"/>
  <c r="BJ31" i="19"/>
  <c r="BJ32" i="19"/>
  <c r="BJ33" i="19"/>
  <c r="BJ39" i="19"/>
  <c r="BJ46" i="19"/>
  <c r="BK8" i="19"/>
  <c r="BK10" i="19"/>
  <c r="BK13" i="19"/>
  <c r="BK19" i="19"/>
  <c r="BK28" i="19"/>
  <c r="BK30" i="19"/>
  <c r="BK31" i="19"/>
  <c r="BK32" i="19"/>
  <c r="BK33" i="19"/>
  <c r="BK39" i="19"/>
  <c r="BK46" i="19"/>
  <c r="BL8" i="19"/>
  <c r="BL10" i="19"/>
  <c r="BL13" i="19"/>
  <c r="BL19" i="19"/>
  <c r="BL28" i="19"/>
  <c r="BL30" i="19"/>
  <c r="BL31" i="19"/>
  <c r="BL32" i="19"/>
  <c r="BL33" i="19"/>
  <c r="BL39" i="19"/>
  <c r="BL46" i="19"/>
  <c r="BM8" i="19"/>
  <c r="BM10" i="19"/>
  <c r="BM13" i="19"/>
  <c r="BM19" i="19"/>
  <c r="BM28" i="19"/>
  <c r="BM30" i="19"/>
  <c r="BM31" i="19"/>
  <c r="BM32" i="19"/>
  <c r="BM33" i="19"/>
  <c r="BM39" i="19"/>
  <c r="BM46" i="19"/>
  <c r="BN8" i="19"/>
  <c r="BN10" i="19"/>
  <c r="BN13" i="19"/>
  <c r="BN19" i="19"/>
  <c r="BN28" i="19"/>
  <c r="BN30" i="19"/>
  <c r="BN31" i="19"/>
  <c r="BN32" i="19"/>
  <c r="BN33" i="19"/>
  <c r="BN39" i="19"/>
  <c r="BN46" i="19"/>
  <c r="BO8" i="19"/>
  <c r="BO10" i="19"/>
  <c r="BO13" i="19"/>
  <c r="BO19" i="19"/>
  <c r="BO28" i="19"/>
  <c r="BO30" i="19"/>
  <c r="BO31" i="19"/>
  <c r="BO32" i="19"/>
  <c r="BO33" i="19"/>
  <c r="BO39" i="19"/>
  <c r="BO46" i="19"/>
  <c r="BP8" i="19"/>
  <c r="BP10" i="19"/>
  <c r="BP13" i="19"/>
  <c r="BP19" i="19"/>
  <c r="BP28" i="19"/>
  <c r="BP30" i="19"/>
  <c r="BP31" i="19"/>
  <c r="BP32" i="19"/>
  <c r="BP33" i="19"/>
  <c r="BP39" i="19"/>
  <c r="BP46" i="19"/>
  <c r="BQ8" i="19"/>
  <c r="BQ10" i="19"/>
  <c r="BQ13" i="19"/>
  <c r="BQ19" i="19"/>
  <c r="BQ28" i="19"/>
  <c r="BQ30" i="19"/>
  <c r="BQ31" i="19"/>
  <c r="BQ32" i="19"/>
  <c r="BQ33" i="19"/>
  <c r="BQ39" i="19"/>
  <c r="BQ46" i="19"/>
  <c r="BR8" i="19"/>
  <c r="BR10" i="19"/>
  <c r="BR13" i="19"/>
  <c r="BR19" i="19"/>
  <c r="BR28" i="19"/>
  <c r="BR30" i="19"/>
  <c r="BR31" i="19"/>
  <c r="BR32" i="19"/>
  <c r="BR33" i="19"/>
  <c r="BR39" i="19"/>
  <c r="BR46" i="19"/>
  <c r="BS8" i="19"/>
  <c r="BS10" i="19"/>
  <c r="BS13" i="19"/>
  <c r="BS19" i="19"/>
  <c r="BS28" i="19"/>
  <c r="BS30" i="19"/>
  <c r="BS31" i="19"/>
  <c r="BS32" i="19"/>
  <c r="BS33" i="19"/>
  <c r="BS39" i="19"/>
  <c r="BS46" i="19"/>
  <c r="BT8" i="19"/>
  <c r="BT10" i="19"/>
  <c r="BT13" i="19"/>
  <c r="BT19" i="19"/>
  <c r="BT28" i="19"/>
  <c r="BT30" i="19"/>
  <c r="BT31" i="19"/>
  <c r="BT32" i="19"/>
  <c r="BT33" i="19"/>
  <c r="BT39" i="19"/>
  <c r="BT46" i="19"/>
  <c r="BU8" i="19"/>
  <c r="BU10" i="19"/>
  <c r="BU13" i="19"/>
  <c r="BU19" i="19"/>
  <c r="BU28" i="19"/>
  <c r="BU30" i="19"/>
  <c r="BU31" i="19"/>
  <c r="BU32" i="19"/>
  <c r="BU33" i="19"/>
  <c r="BU39" i="19"/>
  <c r="BU46" i="19"/>
  <c r="BV8" i="19"/>
  <c r="BV10" i="19"/>
  <c r="BV13" i="19"/>
  <c r="BV19" i="19"/>
  <c r="BV28" i="19"/>
  <c r="BV30" i="19"/>
  <c r="BV31" i="19"/>
  <c r="BV32" i="19"/>
  <c r="BV33" i="19"/>
  <c r="BV39" i="19"/>
  <c r="BV46" i="19"/>
  <c r="BW8" i="19"/>
  <c r="BW10" i="19"/>
  <c r="BW13" i="19"/>
  <c r="BW19" i="19"/>
  <c r="BW28" i="19"/>
  <c r="BW30" i="19"/>
  <c r="BW31" i="19"/>
  <c r="BW32" i="19"/>
  <c r="BW33" i="19"/>
  <c r="BW39" i="19"/>
  <c r="BW46" i="19"/>
  <c r="BX8" i="19"/>
  <c r="BX10" i="19"/>
  <c r="BX13" i="19"/>
  <c r="BX19" i="19"/>
  <c r="BX28" i="19"/>
  <c r="BX30" i="19"/>
  <c r="BX31" i="19"/>
  <c r="BX32" i="19"/>
  <c r="BX33" i="19"/>
  <c r="BX39" i="19"/>
  <c r="BX46" i="19"/>
  <c r="BY8" i="19"/>
  <c r="BY10" i="19"/>
  <c r="BY13" i="19"/>
  <c r="BY19" i="19"/>
  <c r="BY28" i="19"/>
  <c r="BY30" i="19"/>
  <c r="BY31" i="19"/>
  <c r="BY32" i="19"/>
  <c r="BY33" i="19"/>
  <c r="BY39" i="19"/>
  <c r="BY46" i="19"/>
  <c r="BZ8" i="19"/>
  <c r="BZ10" i="19"/>
  <c r="BZ13" i="19"/>
  <c r="BZ19" i="19"/>
  <c r="BZ28" i="19"/>
  <c r="BZ30" i="19"/>
  <c r="BZ31" i="19"/>
  <c r="BZ32" i="19"/>
  <c r="BZ33" i="19"/>
  <c r="BZ39" i="19"/>
  <c r="BZ46" i="19"/>
  <c r="CA8" i="19"/>
  <c r="CA10" i="19"/>
  <c r="CA13" i="19"/>
  <c r="CA19" i="19"/>
  <c r="CA28" i="19"/>
  <c r="CA30" i="19"/>
  <c r="CA31" i="19"/>
  <c r="CA32" i="19"/>
  <c r="CA33" i="19"/>
  <c r="CA39" i="19"/>
  <c r="CA46" i="19"/>
  <c r="CB8" i="19"/>
  <c r="CB10" i="19"/>
  <c r="CB13" i="19"/>
  <c r="CB19" i="19"/>
  <c r="CB28" i="19"/>
  <c r="CB30" i="19"/>
  <c r="CB31" i="19"/>
  <c r="CB32" i="19"/>
  <c r="CB33" i="19"/>
  <c r="CB39" i="19"/>
  <c r="CB46" i="19"/>
  <c r="CC8" i="19"/>
  <c r="CC10" i="19"/>
  <c r="CC13" i="19"/>
  <c r="CC19" i="19"/>
  <c r="CC28" i="19"/>
  <c r="CC30" i="19"/>
  <c r="CC31" i="19"/>
  <c r="CC32" i="19"/>
  <c r="CC33" i="19"/>
  <c r="CC39" i="19"/>
  <c r="CC46" i="19"/>
  <c r="CD8" i="19"/>
  <c r="CD10" i="19"/>
  <c r="CD13" i="19"/>
  <c r="CD19" i="19"/>
  <c r="CD28" i="19"/>
  <c r="CD30" i="19"/>
  <c r="CD31" i="19"/>
  <c r="CD32" i="19"/>
  <c r="CD33" i="19"/>
  <c r="CD39" i="19"/>
  <c r="CD46" i="19"/>
  <c r="CE8" i="19"/>
  <c r="CE10" i="19"/>
  <c r="CE13" i="19"/>
  <c r="CE19" i="19"/>
  <c r="CE28" i="19"/>
  <c r="CE30" i="19"/>
  <c r="CE31" i="19"/>
  <c r="CE32" i="19"/>
  <c r="CE33" i="19"/>
  <c r="CE39" i="19"/>
  <c r="CE46" i="19"/>
  <c r="CF8" i="19"/>
  <c r="CF10" i="19"/>
  <c r="CF13" i="19"/>
  <c r="CF19" i="19"/>
  <c r="CF28" i="19"/>
  <c r="CF30" i="19"/>
  <c r="CF31" i="19"/>
  <c r="CF32" i="19"/>
  <c r="CF33" i="19"/>
  <c r="CF39" i="19"/>
  <c r="CF46" i="19"/>
  <c r="CG8" i="19"/>
  <c r="CG10" i="19"/>
  <c r="CG13" i="19"/>
  <c r="CG19" i="19"/>
  <c r="CG28" i="19"/>
  <c r="CG30" i="19"/>
  <c r="CG31" i="19"/>
  <c r="CG32" i="19"/>
  <c r="CG33" i="19"/>
  <c r="CG39" i="19"/>
  <c r="CG46" i="19"/>
  <c r="CH8" i="19"/>
  <c r="CH10" i="19"/>
  <c r="CH13" i="19"/>
  <c r="CH19" i="19"/>
  <c r="CH28" i="19"/>
  <c r="CH30" i="19"/>
  <c r="CH31" i="19"/>
  <c r="CH32" i="19"/>
  <c r="CH33" i="19"/>
  <c r="CH39" i="19"/>
  <c r="CH46" i="19"/>
  <c r="CI8" i="19"/>
  <c r="CI10" i="19"/>
  <c r="CI13" i="19"/>
  <c r="CI19" i="19"/>
  <c r="CI28" i="19"/>
  <c r="CI30" i="19"/>
  <c r="CI31" i="19"/>
  <c r="CI32" i="19"/>
  <c r="CI33" i="19"/>
  <c r="CI39" i="19"/>
  <c r="CI46" i="19"/>
  <c r="CJ8" i="19"/>
  <c r="CJ10" i="19"/>
  <c r="CJ13" i="19"/>
  <c r="CJ19" i="19"/>
  <c r="CJ28" i="19"/>
  <c r="CJ30" i="19"/>
  <c r="CJ31" i="19"/>
  <c r="CJ32" i="19"/>
  <c r="CJ33" i="19"/>
  <c r="CJ39" i="19"/>
  <c r="CJ46" i="19"/>
  <c r="CK8" i="19"/>
  <c r="CK10" i="19"/>
  <c r="CK13" i="19"/>
  <c r="CK19" i="19"/>
  <c r="CK28" i="19"/>
  <c r="CK30" i="19"/>
  <c r="CK31" i="19"/>
  <c r="CK32" i="19"/>
  <c r="CK33" i="19"/>
  <c r="CK39" i="19"/>
  <c r="CK46" i="19"/>
  <c r="CL8" i="19"/>
  <c r="CL10" i="19"/>
  <c r="CL13" i="19"/>
  <c r="CL19" i="19"/>
  <c r="CL28" i="19"/>
  <c r="CL30" i="19"/>
  <c r="CL31" i="19"/>
  <c r="CL32" i="19"/>
  <c r="CL33" i="19"/>
  <c r="CL39" i="19"/>
  <c r="CL46" i="19"/>
  <c r="CM8" i="19"/>
  <c r="CM10" i="19"/>
  <c r="CM13" i="19"/>
  <c r="CM19" i="19"/>
  <c r="CM28" i="19"/>
  <c r="CM30" i="19"/>
  <c r="CM31" i="19"/>
  <c r="CM32" i="19"/>
  <c r="CM33" i="19"/>
  <c r="CM39" i="19"/>
  <c r="CM46" i="19"/>
  <c r="CN8" i="19"/>
  <c r="CN10" i="19"/>
  <c r="CN13" i="19"/>
  <c r="CN19" i="19"/>
  <c r="CN28" i="19"/>
  <c r="CN30" i="19"/>
  <c r="CN31" i="19"/>
  <c r="CN32" i="19"/>
  <c r="CN33" i="19"/>
  <c r="CN39" i="19"/>
  <c r="CN46" i="19"/>
  <c r="CO8" i="19"/>
  <c r="CO10" i="19"/>
  <c r="CO13" i="19"/>
  <c r="CO19" i="19"/>
  <c r="CO28" i="19"/>
  <c r="CO30" i="19"/>
  <c r="CO31" i="19"/>
  <c r="CO32" i="19"/>
  <c r="CO33" i="19"/>
  <c r="CO39" i="19"/>
  <c r="CO46" i="19"/>
  <c r="CP8" i="19"/>
  <c r="CP10" i="19"/>
  <c r="CP13" i="19"/>
  <c r="CP19" i="19"/>
  <c r="CP28" i="19"/>
  <c r="CP30" i="19"/>
  <c r="CP31" i="19"/>
  <c r="CP32" i="19"/>
  <c r="CP33" i="19"/>
  <c r="CP39" i="19"/>
  <c r="CP46" i="19"/>
  <c r="CQ8" i="19"/>
  <c r="CQ10" i="19"/>
  <c r="CQ13" i="19"/>
  <c r="CQ19" i="19"/>
  <c r="CQ28" i="19"/>
  <c r="CQ30" i="19"/>
  <c r="CQ31" i="19"/>
  <c r="CQ32" i="19"/>
  <c r="CQ33" i="19"/>
  <c r="CQ39" i="19"/>
  <c r="CQ46" i="19"/>
  <c r="CR8" i="19"/>
  <c r="CR10" i="19"/>
  <c r="CR13" i="19"/>
  <c r="CR19" i="19"/>
  <c r="CR28" i="19"/>
  <c r="CR30" i="19"/>
  <c r="CR31" i="19"/>
  <c r="CR32" i="19"/>
  <c r="CR33" i="19"/>
  <c r="CR39" i="19"/>
  <c r="CR46" i="19"/>
  <c r="CS8" i="19"/>
  <c r="CS10" i="19"/>
  <c r="CS13" i="19"/>
  <c r="CS19" i="19"/>
  <c r="CS28" i="19"/>
  <c r="CS30" i="19"/>
  <c r="CS31" i="19"/>
  <c r="CS32" i="19"/>
  <c r="CS33" i="19"/>
  <c r="CS39" i="19"/>
  <c r="CS46" i="19"/>
  <c r="CT8" i="19"/>
  <c r="CT10" i="19"/>
  <c r="CT13" i="19"/>
  <c r="CT19" i="19"/>
  <c r="CT28" i="19"/>
  <c r="CT30" i="19"/>
  <c r="CT31" i="19"/>
  <c r="CT32" i="19"/>
  <c r="CT33" i="19"/>
  <c r="CT39" i="19"/>
  <c r="CT46" i="19"/>
  <c r="CU8" i="19"/>
  <c r="CU10" i="19"/>
  <c r="CU13" i="19"/>
  <c r="CU19" i="19"/>
  <c r="CU28" i="19"/>
  <c r="CU30" i="19"/>
  <c r="CU31" i="19"/>
  <c r="CU32" i="19"/>
  <c r="CU33" i="19"/>
  <c r="CU39" i="19"/>
  <c r="CU46" i="19"/>
  <c r="CV8" i="19"/>
  <c r="CV10" i="19"/>
  <c r="CV13" i="19"/>
  <c r="CV19" i="19"/>
  <c r="CV28" i="19"/>
  <c r="CV30" i="19"/>
  <c r="CV31" i="19"/>
  <c r="CV32" i="19"/>
  <c r="CV33" i="19"/>
  <c r="CV39" i="19"/>
  <c r="CV46" i="19"/>
  <c r="CW8" i="19"/>
  <c r="CW10" i="19"/>
  <c r="CW13" i="19"/>
  <c r="CW19" i="19"/>
  <c r="CW28" i="19"/>
  <c r="CW30" i="19"/>
  <c r="CW31" i="19"/>
  <c r="CW32" i="19"/>
  <c r="CW33" i="19"/>
  <c r="CW39" i="19"/>
  <c r="CW46" i="19"/>
  <c r="CX8" i="19"/>
  <c r="CX10" i="19"/>
  <c r="CX13" i="19"/>
  <c r="CX19" i="19"/>
  <c r="CX28" i="19"/>
  <c r="CX30" i="19"/>
  <c r="CX31" i="19"/>
  <c r="CX32" i="19"/>
  <c r="CX33" i="19"/>
  <c r="CX39" i="19"/>
  <c r="CX46" i="19"/>
  <c r="CY8" i="19"/>
  <c r="CY10" i="19"/>
  <c r="CY13" i="19"/>
  <c r="CY19" i="19"/>
  <c r="CY28" i="19"/>
  <c r="CY30" i="19"/>
  <c r="CY31" i="19"/>
  <c r="CY32" i="19"/>
  <c r="CY33" i="19"/>
  <c r="CY39" i="19"/>
  <c r="CY46" i="19"/>
  <c r="CZ8" i="19"/>
  <c r="CZ10" i="19"/>
  <c r="CZ13" i="19"/>
  <c r="CZ19" i="19"/>
  <c r="CZ28" i="19"/>
  <c r="CZ30" i="19"/>
  <c r="CZ31" i="19"/>
  <c r="CZ32" i="19"/>
  <c r="CZ33" i="19"/>
  <c r="CZ39" i="19"/>
  <c r="CZ46" i="19"/>
  <c r="DA8" i="19"/>
  <c r="DA10" i="19"/>
  <c r="DA13" i="19"/>
  <c r="DA19" i="19"/>
  <c r="DA28" i="19"/>
  <c r="DA30" i="19"/>
  <c r="DA31" i="19"/>
  <c r="DA32" i="19"/>
  <c r="DA33" i="19"/>
  <c r="DA39" i="19"/>
  <c r="DA46" i="19"/>
  <c r="DB8" i="19"/>
  <c r="DB10" i="19"/>
  <c r="DB13" i="19"/>
  <c r="DB19" i="19"/>
  <c r="DB28" i="19"/>
  <c r="DB30" i="19"/>
  <c r="DB31" i="19"/>
  <c r="DB32" i="19"/>
  <c r="DB33" i="19"/>
  <c r="DB39" i="19"/>
  <c r="DB46" i="19"/>
  <c r="DC8" i="19"/>
  <c r="DC10" i="19"/>
  <c r="DC13" i="19"/>
  <c r="DC19" i="19"/>
  <c r="DC28" i="19"/>
  <c r="DC30" i="19"/>
  <c r="DC31" i="19"/>
  <c r="DC32" i="19"/>
  <c r="DC33" i="19"/>
  <c r="DC39" i="19"/>
  <c r="DC46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CH24" i="19"/>
  <c r="CI24" i="19"/>
  <c r="CJ24" i="19"/>
  <c r="CK24" i="19"/>
  <c r="CL24" i="19"/>
  <c r="CM24" i="19"/>
  <c r="CN24" i="19"/>
  <c r="CO24" i="19"/>
  <c r="CP24" i="19"/>
  <c r="CQ24" i="19"/>
  <c r="CR24" i="19"/>
  <c r="CS24" i="19"/>
  <c r="CT24" i="19"/>
  <c r="CU24" i="19"/>
  <c r="CV24" i="19"/>
  <c r="CW24" i="19"/>
  <c r="CX24" i="19"/>
  <c r="CY24" i="19"/>
  <c r="CZ24" i="19"/>
  <c r="DA24" i="19"/>
  <c r="DB24" i="19"/>
  <c r="DC24" i="19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H16" i="17"/>
  <c r="N6" i="5"/>
  <c r="K6" i="5"/>
  <c r="N10" i="5"/>
  <c r="K10" i="5"/>
  <c r="N11" i="5"/>
  <c r="K11" i="5"/>
  <c r="N12" i="5"/>
  <c r="K12" i="5"/>
  <c r="N13" i="5"/>
  <c r="K13" i="5"/>
  <c r="N14" i="5"/>
  <c r="K14" i="5"/>
  <c r="N15" i="5"/>
  <c r="K15" i="5"/>
  <c r="N16" i="5"/>
  <c r="K16" i="5"/>
  <c r="N17" i="5"/>
  <c r="K17" i="5"/>
  <c r="N18" i="5"/>
  <c r="K18" i="5"/>
  <c r="N19" i="5"/>
  <c r="K19" i="5"/>
  <c r="N20" i="5"/>
  <c r="K20" i="5"/>
  <c r="N21" i="5"/>
  <c r="K21" i="5"/>
  <c r="N22" i="5"/>
  <c r="K22" i="5"/>
  <c r="N23" i="5"/>
  <c r="K23" i="5"/>
  <c r="N24" i="5"/>
  <c r="K24" i="5"/>
  <c r="N25" i="5"/>
  <c r="K25" i="5"/>
  <c r="N26" i="5"/>
  <c r="K26" i="5"/>
  <c r="N6" i="10"/>
  <c r="K6" i="10"/>
  <c r="N7" i="10"/>
  <c r="K7" i="10"/>
  <c r="N10" i="10"/>
  <c r="K10" i="10"/>
  <c r="N11" i="10"/>
  <c r="K11" i="10"/>
  <c r="N12" i="10"/>
  <c r="K12" i="10"/>
  <c r="N13" i="10"/>
  <c r="K13" i="10"/>
  <c r="N14" i="10"/>
  <c r="K14" i="10"/>
  <c r="N15" i="10"/>
  <c r="K15" i="10"/>
  <c r="N16" i="10"/>
  <c r="K16" i="10"/>
  <c r="N17" i="10"/>
  <c r="K17" i="10"/>
  <c r="N18" i="10"/>
  <c r="K18" i="10"/>
  <c r="N19" i="10"/>
  <c r="K19" i="10"/>
  <c r="N20" i="10"/>
  <c r="K20" i="10"/>
  <c r="N21" i="10"/>
  <c r="K21" i="10"/>
  <c r="N22" i="10"/>
  <c r="K22" i="10"/>
  <c r="N23" i="10"/>
  <c r="K23" i="10"/>
  <c r="N24" i="10"/>
  <c r="K24" i="10"/>
  <c r="N25" i="10"/>
  <c r="K25" i="10"/>
  <c r="N26" i="10"/>
  <c r="K26" i="10"/>
  <c r="N6" i="14"/>
  <c r="K6" i="14"/>
  <c r="N7" i="14"/>
  <c r="K7" i="14"/>
  <c r="N10" i="14"/>
  <c r="K10" i="14"/>
  <c r="N11" i="14"/>
  <c r="K11" i="14"/>
  <c r="N12" i="14"/>
  <c r="K12" i="14"/>
  <c r="N13" i="14"/>
  <c r="K13" i="14"/>
  <c r="N14" i="14"/>
  <c r="K14" i="14"/>
  <c r="N15" i="14"/>
  <c r="K15" i="14"/>
  <c r="N16" i="14"/>
  <c r="K16" i="14"/>
  <c r="N17" i="14"/>
  <c r="K17" i="14"/>
  <c r="N18" i="14"/>
  <c r="K18" i="14"/>
  <c r="N19" i="14"/>
  <c r="K19" i="14"/>
  <c r="N20" i="14"/>
  <c r="K20" i="14"/>
  <c r="N21" i="14"/>
  <c r="K21" i="14"/>
  <c r="N22" i="14"/>
  <c r="K22" i="14"/>
  <c r="N23" i="14"/>
  <c r="K23" i="14"/>
  <c r="N24" i="14"/>
  <c r="K24" i="14"/>
  <c r="N25" i="14"/>
  <c r="K25" i="14"/>
  <c r="N26" i="14"/>
  <c r="K26" i="14"/>
  <c r="N6" i="7"/>
  <c r="K6" i="7"/>
  <c r="N9" i="7"/>
  <c r="K9" i="7"/>
  <c r="N10" i="7"/>
  <c r="K10" i="7"/>
  <c r="N11" i="7"/>
  <c r="K11" i="7"/>
  <c r="N12" i="7"/>
  <c r="K12" i="7"/>
  <c r="N13" i="7"/>
  <c r="K13" i="7"/>
  <c r="N14" i="7"/>
  <c r="K14" i="7"/>
  <c r="N15" i="7"/>
  <c r="K15" i="7"/>
  <c r="N16" i="7"/>
  <c r="K16" i="7"/>
  <c r="N17" i="7"/>
  <c r="K17" i="7"/>
  <c r="N18" i="7"/>
  <c r="K18" i="7"/>
  <c r="N19" i="7"/>
  <c r="K19" i="7"/>
  <c r="N20" i="7"/>
  <c r="K20" i="7"/>
  <c r="N21" i="7"/>
  <c r="K21" i="7"/>
  <c r="N22" i="7"/>
  <c r="K22" i="7"/>
  <c r="N23" i="7"/>
  <c r="K23" i="7"/>
  <c r="N24" i="7"/>
  <c r="K24" i="7"/>
  <c r="N25" i="7"/>
  <c r="K25" i="7"/>
  <c r="N26" i="7"/>
  <c r="K26" i="7"/>
  <c r="N6" i="41"/>
  <c r="K6" i="41"/>
  <c r="N8" i="41"/>
  <c r="K8" i="41"/>
  <c r="N9" i="41"/>
  <c r="K9" i="41"/>
  <c r="N10" i="41"/>
  <c r="K10" i="41"/>
  <c r="N11" i="41"/>
  <c r="K11" i="41"/>
  <c r="N12" i="41"/>
  <c r="K12" i="41"/>
  <c r="N13" i="41"/>
  <c r="K13" i="41"/>
  <c r="N14" i="41"/>
  <c r="K14" i="41"/>
  <c r="N15" i="41"/>
  <c r="K15" i="41"/>
  <c r="N16" i="41"/>
  <c r="K16" i="41"/>
  <c r="N17" i="41"/>
  <c r="K17" i="41"/>
  <c r="N18" i="41"/>
  <c r="K18" i="41"/>
  <c r="N19" i="41"/>
  <c r="K19" i="41"/>
  <c r="N20" i="41"/>
  <c r="K20" i="41"/>
  <c r="N21" i="41"/>
  <c r="K21" i="41"/>
  <c r="N22" i="41"/>
  <c r="K22" i="41"/>
  <c r="N23" i="41"/>
  <c r="K23" i="41"/>
  <c r="N24" i="41"/>
  <c r="K24" i="41"/>
  <c r="N25" i="41"/>
  <c r="K25" i="41"/>
  <c r="N26" i="41"/>
  <c r="K26" i="41"/>
  <c r="N6" i="42"/>
  <c r="K6" i="42"/>
  <c r="N7" i="42"/>
  <c r="K7" i="42"/>
  <c r="N8" i="42"/>
  <c r="K8" i="42"/>
  <c r="N9" i="42"/>
  <c r="K9" i="42"/>
  <c r="N12" i="42"/>
  <c r="K12" i="42"/>
  <c r="N13" i="42"/>
  <c r="K13" i="42"/>
  <c r="N14" i="42"/>
  <c r="K14" i="42"/>
  <c r="N15" i="42"/>
  <c r="K15" i="42"/>
  <c r="N16" i="42"/>
  <c r="K16" i="42"/>
  <c r="N17" i="42"/>
  <c r="K17" i="42"/>
  <c r="N18" i="42"/>
  <c r="K18" i="42"/>
  <c r="N19" i="42"/>
  <c r="K19" i="42"/>
  <c r="N20" i="42"/>
  <c r="K20" i="42"/>
  <c r="N21" i="42"/>
  <c r="K21" i="42"/>
  <c r="N22" i="42"/>
  <c r="K22" i="42"/>
  <c r="N23" i="42"/>
  <c r="K23" i="42"/>
  <c r="N24" i="42"/>
  <c r="K24" i="42"/>
  <c r="N25" i="42"/>
  <c r="K25" i="42"/>
  <c r="N26" i="42"/>
  <c r="K26" i="42"/>
  <c r="L5" i="22"/>
  <c r="K5" i="22"/>
  <c r="L6" i="22"/>
  <c r="K6" i="22"/>
  <c r="L7" i="22"/>
  <c r="K7" i="22"/>
  <c r="L10" i="22"/>
  <c r="K10" i="22"/>
  <c r="L11" i="22"/>
  <c r="K11" i="22"/>
  <c r="L12" i="22"/>
  <c r="K12" i="22"/>
  <c r="L13" i="22"/>
  <c r="K13" i="22"/>
  <c r="L14" i="22"/>
  <c r="K14" i="22"/>
  <c r="N43" i="5"/>
  <c r="K43" i="5"/>
  <c r="N44" i="5"/>
  <c r="K44" i="5"/>
  <c r="N45" i="5"/>
  <c r="K45" i="5"/>
  <c r="K46" i="5"/>
  <c r="N52" i="5"/>
  <c r="K52" i="5"/>
  <c r="N31" i="5"/>
  <c r="K31" i="5"/>
  <c r="N33" i="5"/>
  <c r="K33" i="5"/>
  <c r="N34" i="5"/>
  <c r="K34" i="5"/>
  <c r="N35" i="5"/>
  <c r="K35" i="5"/>
  <c r="N36" i="5"/>
  <c r="K36" i="5"/>
  <c r="N37" i="5"/>
  <c r="K37" i="5"/>
  <c r="L83" i="22"/>
  <c r="K83" i="22"/>
  <c r="L84" i="22"/>
  <c r="K84" i="22"/>
  <c r="L85" i="22"/>
  <c r="K85" i="22"/>
  <c r="L87" i="22"/>
  <c r="K87" i="22"/>
  <c r="L88" i="22"/>
  <c r="K88" i="22"/>
  <c r="L89" i="22"/>
  <c r="K89" i="22"/>
  <c r="L90" i="22"/>
  <c r="K90" i="22"/>
  <c r="L91" i="22"/>
  <c r="K91" i="22"/>
  <c r="L92" i="22"/>
  <c r="K92" i="22"/>
  <c r="N43" i="42"/>
  <c r="K43" i="42"/>
  <c r="N44" i="42"/>
  <c r="K44" i="42"/>
  <c r="N45" i="42"/>
  <c r="K45" i="42"/>
  <c r="K46" i="42"/>
  <c r="N50" i="42"/>
  <c r="K50" i="42"/>
  <c r="N51" i="42"/>
  <c r="K51" i="42"/>
  <c r="N52" i="42"/>
  <c r="K52" i="42"/>
  <c r="K53" i="42"/>
  <c r="N31" i="42"/>
  <c r="K31" i="42"/>
  <c r="N32" i="42"/>
  <c r="K32" i="42"/>
  <c r="N33" i="42"/>
  <c r="K33" i="42"/>
  <c r="N34" i="42"/>
  <c r="K34" i="42"/>
  <c r="N35" i="42"/>
  <c r="K35" i="42"/>
  <c r="N36" i="42"/>
  <c r="K36" i="42"/>
  <c r="N37" i="42"/>
  <c r="K37" i="42"/>
  <c r="K38" i="42"/>
  <c r="N32" i="10"/>
  <c r="K32" i="10"/>
  <c r="N33" i="10"/>
  <c r="K33" i="10"/>
  <c r="N34" i="10"/>
  <c r="K34" i="10"/>
  <c r="N35" i="10"/>
  <c r="K35" i="10"/>
  <c r="N36" i="10"/>
  <c r="K36" i="10"/>
  <c r="N37" i="10"/>
  <c r="K37" i="10"/>
  <c r="N43" i="10"/>
  <c r="K43" i="10"/>
  <c r="N44" i="10"/>
  <c r="K44" i="10"/>
  <c r="N45" i="10"/>
  <c r="K45" i="10"/>
  <c r="K46" i="10"/>
  <c r="L31" i="22"/>
  <c r="K31" i="22"/>
  <c r="L32" i="22"/>
  <c r="K32" i="22"/>
  <c r="L33" i="22"/>
  <c r="K33" i="22"/>
  <c r="L34" i="22"/>
  <c r="K34" i="22"/>
  <c r="L35" i="22"/>
  <c r="K35" i="22"/>
  <c r="L36" i="22"/>
  <c r="K36" i="22"/>
  <c r="L37" i="22"/>
  <c r="K37" i="22"/>
  <c r="L38" i="22"/>
  <c r="K38" i="22"/>
  <c r="L39" i="22"/>
  <c r="K39" i="22"/>
  <c r="L40" i="22"/>
  <c r="K40" i="22"/>
  <c r="K41" i="22"/>
  <c r="K47" i="10"/>
  <c r="N50" i="10"/>
  <c r="K50" i="10"/>
  <c r="N51" i="10"/>
  <c r="K51" i="10"/>
  <c r="N52" i="10"/>
  <c r="K52" i="10"/>
  <c r="K53" i="10"/>
  <c r="N31" i="14"/>
  <c r="K31" i="14"/>
  <c r="N32" i="14"/>
  <c r="K32" i="14"/>
  <c r="N33" i="14"/>
  <c r="K33" i="14"/>
  <c r="N34" i="14"/>
  <c r="K34" i="14"/>
  <c r="N35" i="14"/>
  <c r="K35" i="14"/>
  <c r="N36" i="14"/>
  <c r="K36" i="14"/>
  <c r="N37" i="14"/>
  <c r="K37" i="14"/>
  <c r="K38" i="14"/>
  <c r="N50" i="14"/>
  <c r="K50" i="14"/>
  <c r="N51" i="14"/>
  <c r="K51" i="14"/>
  <c r="N52" i="14"/>
  <c r="K52" i="14"/>
  <c r="K53" i="14"/>
  <c r="N43" i="14"/>
  <c r="K43" i="14"/>
  <c r="N44" i="14"/>
  <c r="K44" i="14"/>
  <c r="N45" i="14"/>
  <c r="K45" i="14"/>
  <c r="K46" i="14"/>
  <c r="L57" i="22"/>
  <c r="K57" i="22"/>
  <c r="L58" i="22"/>
  <c r="K58" i="22"/>
  <c r="L59" i="22"/>
  <c r="K59" i="22"/>
  <c r="L60" i="22"/>
  <c r="K60" i="22"/>
  <c r="L61" i="22"/>
  <c r="K61" i="22"/>
  <c r="L62" i="22"/>
  <c r="K62" i="22"/>
  <c r="L63" i="22"/>
  <c r="K63" i="22"/>
  <c r="L64" i="22"/>
  <c r="K64" i="22"/>
  <c r="L65" i="22"/>
  <c r="K65" i="22"/>
  <c r="L66" i="22"/>
  <c r="K66" i="22"/>
  <c r="K67" i="22"/>
  <c r="K47" i="14"/>
  <c r="N31" i="7"/>
  <c r="K31" i="7"/>
  <c r="N32" i="7"/>
  <c r="K32" i="7"/>
  <c r="N33" i="7"/>
  <c r="K33" i="7"/>
  <c r="N34" i="7"/>
  <c r="K34" i="7"/>
  <c r="N35" i="7"/>
  <c r="K35" i="7"/>
  <c r="N36" i="7"/>
  <c r="K36" i="7"/>
  <c r="N37" i="7"/>
  <c r="K37" i="7"/>
  <c r="K38" i="7"/>
  <c r="N43" i="7"/>
  <c r="K43" i="7"/>
  <c r="N44" i="7"/>
  <c r="K44" i="7"/>
  <c r="N45" i="7"/>
  <c r="K45" i="7"/>
  <c r="K46" i="7"/>
  <c r="L18" i="22"/>
  <c r="K18" i="22"/>
  <c r="L19" i="22"/>
  <c r="K19" i="22"/>
  <c r="L20" i="22"/>
  <c r="K20" i="22"/>
  <c r="L21" i="22"/>
  <c r="K21" i="22"/>
  <c r="L22" i="22"/>
  <c r="K22" i="22"/>
  <c r="L23" i="22"/>
  <c r="K23" i="22"/>
  <c r="L24" i="22"/>
  <c r="K24" i="22"/>
  <c r="L25" i="22"/>
  <c r="K25" i="22"/>
  <c r="L26" i="22"/>
  <c r="K26" i="22"/>
  <c r="L27" i="22"/>
  <c r="K27" i="22"/>
  <c r="K28" i="22"/>
  <c r="K47" i="7"/>
  <c r="N50" i="7"/>
  <c r="K50" i="7"/>
  <c r="N51" i="7"/>
  <c r="K51" i="7"/>
  <c r="N52" i="7"/>
  <c r="K52" i="7"/>
  <c r="K53" i="7"/>
  <c r="N31" i="41"/>
  <c r="K31" i="41"/>
  <c r="N32" i="41"/>
  <c r="K32" i="41"/>
  <c r="N33" i="41"/>
  <c r="K33" i="41"/>
  <c r="N34" i="41"/>
  <c r="K34" i="41"/>
  <c r="N35" i="41"/>
  <c r="K35" i="41"/>
  <c r="N36" i="41"/>
  <c r="K36" i="41"/>
  <c r="N37" i="41"/>
  <c r="K37" i="41"/>
  <c r="K38" i="41"/>
  <c r="N50" i="41"/>
  <c r="K50" i="41"/>
  <c r="N51" i="41"/>
  <c r="K51" i="41"/>
  <c r="N52" i="41"/>
  <c r="K52" i="41"/>
  <c r="K53" i="41"/>
  <c r="N43" i="41"/>
  <c r="K43" i="41"/>
  <c r="N44" i="41"/>
  <c r="K44" i="41"/>
  <c r="N45" i="41"/>
  <c r="K45" i="41"/>
  <c r="K46" i="41"/>
  <c r="L44" i="22"/>
  <c r="K44" i="22"/>
  <c r="L45" i="22"/>
  <c r="K45" i="22"/>
  <c r="L46" i="22"/>
  <c r="K46" i="22"/>
  <c r="L47" i="22"/>
  <c r="K47" i="22"/>
  <c r="L48" i="22"/>
  <c r="K48" i="22"/>
  <c r="L49" i="22"/>
  <c r="K49" i="22"/>
  <c r="L50" i="22"/>
  <c r="K50" i="22"/>
  <c r="L51" i="22"/>
  <c r="K51" i="22"/>
  <c r="L52" i="22"/>
  <c r="K52" i="22"/>
  <c r="L53" i="22"/>
  <c r="K53" i="22"/>
  <c r="K54" i="22"/>
  <c r="K47" i="41"/>
  <c r="CV37" i="52"/>
  <c r="CV36" i="52"/>
  <c r="CV35" i="52"/>
  <c r="CV34" i="52"/>
  <c r="CV33" i="52"/>
  <c r="CV32" i="52"/>
  <c r="CV31" i="52"/>
  <c r="CV30" i="52"/>
  <c r="CV29" i="52"/>
  <c r="CV28" i="52"/>
  <c r="CV27" i="52"/>
  <c r="CV26" i="52"/>
  <c r="CQ37" i="52"/>
  <c r="CQ36" i="52"/>
  <c r="CQ35" i="52"/>
  <c r="CQ34" i="52"/>
  <c r="CQ33" i="52"/>
  <c r="CQ32" i="52"/>
  <c r="CQ31" i="52"/>
  <c r="CQ30" i="52"/>
  <c r="CQ29" i="52"/>
  <c r="CQ28" i="52"/>
  <c r="CQ27" i="52"/>
  <c r="CQ26" i="52"/>
  <c r="CL37" i="52"/>
  <c r="CL36" i="52"/>
  <c r="CL35" i="52"/>
  <c r="CL34" i="52"/>
  <c r="CL33" i="52"/>
  <c r="CL32" i="52"/>
  <c r="CL31" i="52"/>
  <c r="CL30" i="52"/>
  <c r="CL29" i="52"/>
  <c r="CL28" i="52"/>
  <c r="CL27" i="52"/>
  <c r="CL26" i="52"/>
  <c r="CG37" i="52"/>
  <c r="CG36" i="52"/>
  <c r="CG35" i="52"/>
  <c r="CG34" i="52"/>
  <c r="CG33" i="52"/>
  <c r="CG32" i="52"/>
  <c r="CG31" i="52"/>
  <c r="CG30" i="52"/>
  <c r="CG29" i="52"/>
  <c r="CG28" i="52"/>
  <c r="CG27" i="52"/>
  <c r="CG26" i="52"/>
  <c r="CB37" i="52"/>
  <c r="CB36" i="52"/>
  <c r="CB35" i="52"/>
  <c r="CB34" i="52"/>
  <c r="CB33" i="52"/>
  <c r="CB32" i="52"/>
  <c r="CB31" i="52"/>
  <c r="CB30" i="52"/>
  <c r="CB29" i="52"/>
  <c r="CB28" i="52"/>
  <c r="CB27" i="52"/>
  <c r="CB26" i="52"/>
  <c r="BW37" i="52"/>
  <c r="BW36" i="52"/>
  <c r="BW35" i="52"/>
  <c r="BW34" i="52"/>
  <c r="BW33" i="52"/>
  <c r="BW32" i="52"/>
  <c r="BW31" i="52"/>
  <c r="BW30" i="52"/>
  <c r="BW29" i="52"/>
  <c r="BW28" i="52"/>
  <c r="BW27" i="52"/>
  <c r="BW26" i="52"/>
  <c r="BR37" i="52"/>
  <c r="BR36" i="52"/>
  <c r="BR35" i="52"/>
  <c r="BR34" i="52"/>
  <c r="BR33" i="52"/>
  <c r="BR32" i="52"/>
  <c r="BR31" i="52"/>
  <c r="BR30" i="52"/>
  <c r="BR29" i="52"/>
  <c r="BR28" i="52"/>
  <c r="BR27" i="52"/>
  <c r="BR26" i="52"/>
  <c r="BM37" i="52"/>
  <c r="BM36" i="52"/>
  <c r="BM35" i="52"/>
  <c r="BM34" i="52"/>
  <c r="BM33" i="52"/>
  <c r="BM32" i="52"/>
  <c r="BM31" i="52"/>
  <c r="BM30" i="52"/>
  <c r="BM29" i="52"/>
  <c r="BM28" i="52"/>
  <c r="BM27" i="52"/>
  <c r="BM26" i="52"/>
  <c r="BH37" i="52"/>
  <c r="BH36" i="52"/>
  <c r="BH35" i="52"/>
  <c r="BH34" i="52"/>
  <c r="BH33" i="52"/>
  <c r="BH32" i="52"/>
  <c r="BH31" i="52"/>
  <c r="BH30" i="52"/>
  <c r="BH29" i="52"/>
  <c r="BH28" i="52"/>
  <c r="BH27" i="52"/>
  <c r="BH26" i="52"/>
  <c r="BC37" i="52"/>
  <c r="BC36" i="52"/>
  <c r="BC35" i="52"/>
  <c r="BC34" i="52"/>
  <c r="BC33" i="52"/>
  <c r="BC32" i="52"/>
  <c r="BC31" i="52"/>
  <c r="BC30" i="52"/>
  <c r="BC29" i="52"/>
  <c r="BC28" i="52"/>
  <c r="BC27" i="52"/>
  <c r="BC26" i="52"/>
  <c r="AX37" i="52"/>
  <c r="AX36" i="52"/>
  <c r="AX35" i="52"/>
  <c r="AX34" i="52"/>
  <c r="AX33" i="52"/>
  <c r="AX32" i="52"/>
  <c r="AX31" i="52"/>
  <c r="AX30" i="52"/>
  <c r="AX29" i="52"/>
  <c r="AX28" i="52"/>
  <c r="AX27" i="52"/>
  <c r="AX26" i="52"/>
  <c r="AS37" i="52"/>
  <c r="AS36" i="52"/>
  <c r="AS35" i="52"/>
  <c r="AS34" i="52"/>
  <c r="AS33" i="52"/>
  <c r="AS32" i="52"/>
  <c r="AS31" i="52"/>
  <c r="AS30" i="52"/>
  <c r="AS29" i="52"/>
  <c r="AS28" i="52"/>
  <c r="AS27" i="52"/>
  <c r="AS26" i="52"/>
  <c r="AN37" i="52"/>
  <c r="AN36" i="52"/>
  <c r="AN35" i="52"/>
  <c r="AN34" i="52"/>
  <c r="AN33" i="52"/>
  <c r="AN32" i="52"/>
  <c r="AN31" i="52"/>
  <c r="AN30" i="52"/>
  <c r="AN29" i="52"/>
  <c r="AN28" i="52"/>
  <c r="AN27" i="52"/>
  <c r="AN26" i="52"/>
  <c r="AI37" i="52"/>
  <c r="AI36" i="52"/>
  <c r="AI35" i="52"/>
  <c r="AI34" i="52"/>
  <c r="AI33" i="52"/>
  <c r="AI32" i="52"/>
  <c r="AI31" i="52"/>
  <c r="AI30" i="52"/>
  <c r="AI29" i="52"/>
  <c r="AI28" i="52"/>
  <c r="AI27" i="52"/>
  <c r="AI26" i="52"/>
  <c r="AD37" i="52"/>
  <c r="AD36" i="52"/>
  <c r="AD35" i="52"/>
  <c r="AD34" i="52"/>
  <c r="AD33" i="52"/>
  <c r="AD32" i="52"/>
  <c r="AD31" i="52"/>
  <c r="AD30" i="52"/>
  <c r="AD29" i="52"/>
  <c r="AD28" i="52"/>
  <c r="AD27" i="52"/>
  <c r="AD26" i="52"/>
  <c r="Y37" i="52"/>
  <c r="Y36" i="52"/>
  <c r="Y35" i="52"/>
  <c r="Y34" i="52"/>
  <c r="Y33" i="52"/>
  <c r="Y32" i="52"/>
  <c r="Y31" i="52"/>
  <c r="Y30" i="52"/>
  <c r="Y29" i="52"/>
  <c r="Y28" i="52"/>
  <c r="Y27" i="52"/>
  <c r="Y26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E28" i="52"/>
  <c r="E29" i="52"/>
  <c r="E30" i="52"/>
  <c r="E31" i="52"/>
  <c r="E32" i="52"/>
  <c r="E33" i="52"/>
  <c r="E34" i="52"/>
  <c r="E35" i="52"/>
  <c r="E36" i="52"/>
  <c r="E37" i="52"/>
  <c r="E27" i="52"/>
  <c r="E26" i="52"/>
  <c r="H35" i="6"/>
  <c r="L27" i="7"/>
  <c r="L27" i="10"/>
  <c r="L27" i="41"/>
  <c r="L27" i="14"/>
  <c r="L27" i="16"/>
  <c r="L27" i="42"/>
  <c r="M27" i="5"/>
  <c r="M27" i="7"/>
  <c r="M27" i="10"/>
  <c r="M27" i="41"/>
  <c r="M27" i="14"/>
  <c r="M27" i="16"/>
  <c r="M27" i="42"/>
  <c r="L38" i="5"/>
  <c r="L38" i="7"/>
  <c r="L38" i="10"/>
  <c r="L38" i="41"/>
  <c r="L38" i="14"/>
  <c r="L38" i="16"/>
  <c r="L38" i="42"/>
  <c r="M38" i="5"/>
  <c r="M38" i="7"/>
  <c r="M38" i="10"/>
  <c r="M38" i="41"/>
  <c r="M38" i="14"/>
  <c r="M38" i="16"/>
  <c r="M38" i="42"/>
  <c r="C53" i="39"/>
  <c r="C54" i="39"/>
  <c r="C55" i="39"/>
  <c r="L53" i="5"/>
  <c r="L53" i="7"/>
  <c r="L53" i="10"/>
  <c r="L53" i="14"/>
  <c r="L53" i="16"/>
  <c r="L53" i="42"/>
  <c r="M53" i="5"/>
  <c r="M53" i="7"/>
  <c r="M53" i="10"/>
  <c r="M53" i="14"/>
  <c r="M53" i="16"/>
  <c r="M53" i="42"/>
  <c r="C35" i="39"/>
  <c r="C36" i="39"/>
  <c r="C37" i="39"/>
  <c r="C10" i="39"/>
  <c r="C21" i="39" s="1"/>
  <c r="D17" i="39"/>
  <c r="D18" i="39"/>
  <c r="D20" i="39"/>
  <c r="E19" i="39"/>
  <c r="M26" i="31"/>
  <c r="M28" i="31"/>
  <c r="M18" i="31"/>
  <c r="M7" i="31"/>
  <c r="M19" i="31"/>
  <c r="M20" i="31"/>
  <c r="M21" i="31"/>
  <c r="M22" i="31"/>
  <c r="M23" i="31"/>
  <c r="M24" i="31"/>
  <c r="M29" i="31"/>
  <c r="G9" i="31"/>
  <c r="G11" i="31"/>
  <c r="G12" i="31"/>
  <c r="G13" i="31"/>
  <c r="G14" i="31"/>
  <c r="D31" i="31"/>
  <c r="E31" i="31"/>
  <c r="F31" i="31"/>
  <c r="H31" i="31"/>
  <c r="I31" i="31"/>
  <c r="J31" i="31"/>
  <c r="K31" i="31"/>
  <c r="L31" i="31"/>
  <c r="N31" i="31"/>
  <c r="O31" i="31"/>
  <c r="P30" i="31"/>
  <c r="P31" i="31"/>
  <c r="Q30" i="31"/>
  <c r="Q29" i="31"/>
  <c r="Q28" i="31"/>
  <c r="Q26" i="31"/>
  <c r="Q24" i="31"/>
  <c r="Q23" i="31"/>
  <c r="Q22" i="31"/>
  <c r="Q21" i="31"/>
  <c r="Q20" i="31"/>
  <c r="Q19" i="31"/>
  <c r="Q18" i="31"/>
  <c r="Q14" i="31"/>
  <c r="Q13" i="31"/>
  <c r="Q12" i="31"/>
  <c r="Q11" i="31"/>
  <c r="Q9" i="31"/>
  <c r="Q7" i="31"/>
  <c r="H58" i="6"/>
  <c r="H63" i="6"/>
  <c r="H66" i="6"/>
  <c r="H74" i="6"/>
  <c r="H79" i="6"/>
  <c r="H82" i="6"/>
  <c r="H87" i="6"/>
  <c r="H61" i="6"/>
  <c r="H64" i="6"/>
  <c r="H77" i="6"/>
  <c r="H80" i="6"/>
  <c r="H89" i="6"/>
  <c r="I58" i="6"/>
  <c r="I63" i="6"/>
  <c r="I66" i="6"/>
  <c r="I74" i="6"/>
  <c r="I79" i="6"/>
  <c r="I82" i="6"/>
  <c r="I87" i="6"/>
  <c r="I61" i="6"/>
  <c r="I64" i="6"/>
  <c r="I77" i="6"/>
  <c r="I80" i="6"/>
  <c r="I89" i="6"/>
  <c r="J58" i="6"/>
  <c r="J63" i="6"/>
  <c r="J66" i="6"/>
  <c r="J74" i="6"/>
  <c r="J79" i="6"/>
  <c r="J82" i="6"/>
  <c r="J87" i="6"/>
  <c r="J61" i="6"/>
  <c r="J64" i="6"/>
  <c r="J77" i="6"/>
  <c r="J80" i="6"/>
  <c r="J89" i="6"/>
  <c r="K58" i="6"/>
  <c r="K63" i="6"/>
  <c r="K66" i="6"/>
  <c r="K74" i="6"/>
  <c r="K79" i="6"/>
  <c r="K82" i="6"/>
  <c r="K87" i="6"/>
  <c r="K61" i="6"/>
  <c r="K64" i="6"/>
  <c r="K77" i="6"/>
  <c r="K80" i="6"/>
  <c r="K89" i="6"/>
  <c r="L58" i="6"/>
  <c r="L63" i="6"/>
  <c r="L66" i="6"/>
  <c r="L74" i="6"/>
  <c r="L79" i="6"/>
  <c r="L82" i="6"/>
  <c r="L87" i="6"/>
  <c r="L61" i="6"/>
  <c r="L64" i="6"/>
  <c r="L77" i="6"/>
  <c r="L80" i="6"/>
  <c r="L89" i="6"/>
  <c r="M58" i="6"/>
  <c r="M63" i="6"/>
  <c r="M66" i="6"/>
  <c r="M74" i="6"/>
  <c r="M79" i="6"/>
  <c r="M82" i="6"/>
  <c r="M87" i="6"/>
  <c r="M61" i="6"/>
  <c r="M64" i="6"/>
  <c r="M77" i="6"/>
  <c r="M80" i="6"/>
  <c r="M89" i="6"/>
  <c r="N58" i="6"/>
  <c r="N63" i="6"/>
  <c r="N66" i="6"/>
  <c r="N74" i="6"/>
  <c r="N79" i="6"/>
  <c r="N82" i="6"/>
  <c r="N87" i="6"/>
  <c r="N61" i="6"/>
  <c r="N64" i="6"/>
  <c r="N77" i="6"/>
  <c r="N80" i="6"/>
  <c r="N89" i="6"/>
  <c r="O58" i="6"/>
  <c r="O63" i="6"/>
  <c r="O66" i="6"/>
  <c r="O74" i="6"/>
  <c r="O79" i="6"/>
  <c r="O82" i="6"/>
  <c r="O87" i="6"/>
  <c r="O61" i="6"/>
  <c r="O64" i="6"/>
  <c r="O77" i="6"/>
  <c r="O80" i="6"/>
  <c r="O89" i="6"/>
  <c r="P58" i="6"/>
  <c r="P63" i="6"/>
  <c r="P66" i="6"/>
  <c r="P74" i="6"/>
  <c r="P79" i="6"/>
  <c r="P82" i="6"/>
  <c r="P87" i="6"/>
  <c r="P61" i="6"/>
  <c r="P64" i="6"/>
  <c r="P77" i="6"/>
  <c r="P80" i="6"/>
  <c r="P89" i="6"/>
  <c r="Q58" i="6"/>
  <c r="Q63" i="6"/>
  <c r="Q66" i="6"/>
  <c r="Q74" i="6"/>
  <c r="Q79" i="6"/>
  <c r="Q82" i="6"/>
  <c r="Q87" i="6"/>
  <c r="Q61" i="6"/>
  <c r="Q64" i="6"/>
  <c r="Q77" i="6"/>
  <c r="Q80" i="6"/>
  <c r="Q89" i="6"/>
  <c r="R58" i="6"/>
  <c r="R63" i="6"/>
  <c r="R66" i="6"/>
  <c r="R74" i="6"/>
  <c r="R79" i="6"/>
  <c r="R82" i="6"/>
  <c r="R87" i="6"/>
  <c r="R61" i="6"/>
  <c r="R64" i="6"/>
  <c r="R77" i="6"/>
  <c r="R80" i="6"/>
  <c r="R89" i="6"/>
  <c r="S58" i="6"/>
  <c r="S63" i="6"/>
  <c r="S66" i="6"/>
  <c r="S74" i="6"/>
  <c r="S79" i="6"/>
  <c r="S82" i="6"/>
  <c r="S87" i="6"/>
  <c r="S61" i="6"/>
  <c r="S64" i="6"/>
  <c r="S77" i="6"/>
  <c r="S80" i="6"/>
  <c r="S89" i="6"/>
  <c r="T58" i="6"/>
  <c r="T63" i="6"/>
  <c r="T66" i="6"/>
  <c r="T74" i="6"/>
  <c r="T79" i="6"/>
  <c r="T82" i="6"/>
  <c r="T87" i="6"/>
  <c r="T61" i="6"/>
  <c r="T64" i="6"/>
  <c r="T77" i="6"/>
  <c r="T80" i="6"/>
  <c r="T89" i="6"/>
  <c r="U58" i="6"/>
  <c r="U63" i="6"/>
  <c r="U66" i="6"/>
  <c r="U74" i="6"/>
  <c r="U79" i="6"/>
  <c r="U82" i="6"/>
  <c r="U87" i="6"/>
  <c r="U61" i="6"/>
  <c r="U64" i="6"/>
  <c r="U77" i="6"/>
  <c r="U80" i="6"/>
  <c r="U89" i="6"/>
  <c r="V58" i="6"/>
  <c r="V63" i="6"/>
  <c r="V66" i="6"/>
  <c r="V74" i="6"/>
  <c r="V79" i="6"/>
  <c r="V82" i="6"/>
  <c r="V87" i="6"/>
  <c r="V61" i="6"/>
  <c r="V64" i="6"/>
  <c r="V77" i="6"/>
  <c r="V80" i="6"/>
  <c r="V89" i="6"/>
  <c r="W58" i="6"/>
  <c r="W63" i="6"/>
  <c r="W66" i="6"/>
  <c r="W74" i="6"/>
  <c r="W79" i="6"/>
  <c r="W82" i="6"/>
  <c r="W87" i="6"/>
  <c r="W61" i="6"/>
  <c r="W64" i="6"/>
  <c r="W77" i="6"/>
  <c r="W80" i="6"/>
  <c r="W89" i="6"/>
  <c r="X58" i="6"/>
  <c r="X63" i="6"/>
  <c r="X66" i="6"/>
  <c r="X74" i="6"/>
  <c r="X79" i="6"/>
  <c r="X82" i="6"/>
  <c r="X87" i="6"/>
  <c r="X61" i="6"/>
  <c r="X64" i="6"/>
  <c r="X77" i="6"/>
  <c r="X80" i="6"/>
  <c r="X89" i="6"/>
  <c r="Y58" i="6"/>
  <c r="Y63" i="6"/>
  <c r="Y66" i="6"/>
  <c r="Y74" i="6"/>
  <c r="Y79" i="6"/>
  <c r="Y82" i="6"/>
  <c r="Y87" i="6"/>
  <c r="Y61" i="6"/>
  <c r="Y64" i="6"/>
  <c r="Y77" i="6"/>
  <c r="Y80" i="6"/>
  <c r="Y89" i="6"/>
  <c r="Z58" i="6"/>
  <c r="Z63" i="6"/>
  <c r="Z66" i="6"/>
  <c r="Z74" i="6"/>
  <c r="Z79" i="6"/>
  <c r="Z82" i="6"/>
  <c r="Z87" i="6"/>
  <c r="Z61" i="6"/>
  <c r="Z64" i="6"/>
  <c r="Z77" i="6"/>
  <c r="Z80" i="6"/>
  <c r="Z89" i="6"/>
  <c r="AA58" i="6"/>
  <c r="AA63" i="6"/>
  <c r="AA66" i="6"/>
  <c r="AA74" i="6"/>
  <c r="AA79" i="6"/>
  <c r="AA82" i="6"/>
  <c r="AA87" i="6"/>
  <c r="AA61" i="6"/>
  <c r="AA64" i="6"/>
  <c r="AA77" i="6"/>
  <c r="AA80" i="6"/>
  <c r="AA89" i="6"/>
  <c r="AB58" i="6"/>
  <c r="AB63" i="6"/>
  <c r="AB66" i="6"/>
  <c r="AB74" i="6"/>
  <c r="AB79" i="6"/>
  <c r="AB82" i="6"/>
  <c r="AB87" i="6"/>
  <c r="AB61" i="6"/>
  <c r="AB64" i="6"/>
  <c r="AB77" i="6"/>
  <c r="AB80" i="6"/>
  <c r="AB89" i="6"/>
  <c r="AC58" i="6"/>
  <c r="AC63" i="6"/>
  <c r="AC66" i="6"/>
  <c r="AC74" i="6"/>
  <c r="AC79" i="6"/>
  <c r="AC82" i="6"/>
  <c r="AC87" i="6"/>
  <c r="AC61" i="6"/>
  <c r="AC64" i="6"/>
  <c r="AC77" i="6"/>
  <c r="AC80" i="6"/>
  <c r="AC89" i="6"/>
  <c r="AD58" i="6"/>
  <c r="AD63" i="6"/>
  <c r="AD66" i="6"/>
  <c r="AD74" i="6"/>
  <c r="AD79" i="6"/>
  <c r="AD82" i="6"/>
  <c r="AD87" i="6"/>
  <c r="AD61" i="6"/>
  <c r="AD64" i="6"/>
  <c r="AD77" i="6"/>
  <c r="AD80" i="6"/>
  <c r="AD89" i="6"/>
  <c r="AE58" i="6"/>
  <c r="AE63" i="6"/>
  <c r="AE66" i="6"/>
  <c r="AE74" i="6"/>
  <c r="AE79" i="6"/>
  <c r="AE82" i="6"/>
  <c r="AE87" i="6"/>
  <c r="AE61" i="6"/>
  <c r="AE64" i="6"/>
  <c r="AE77" i="6"/>
  <c r="AE80" i="6"/>
  <c r="AE89" i="6"/>
  <c r="AF58" i="6"/>
  <c r="AF63" i="6"/>
  <c r="AF66" i="6"/>
  <c r="AF74" i="6"/>
  <c r="AF79" i="6"/>
  <c r="AF82" i="6"/>
  <c r="AF87" i="6"/>
  <c r="AF61" i="6"/>
  <c r="AF64" i="6"/>
  <c r="AF77" i="6"/>
  <c r="AF80" i="6"/>
  <c r="AF89" i="6"/>
  <c r="AG58" i="6"/>
  <c r="AG63" i="6"/>
  <c r="AG66" i="6"/>
  <c r="AG74" i="6"/>
  <c r="AG79" i="6"/>
  <c r="AG82" i="6"/>
  <c r="AG87" i="6"/>
  <c r="AG61" i="6"/>
  <c r="AG64" i="6"/>
  <c r="AG77" i="6"/>
  <c r="AG80" i="6"/>
  <c r="AG89" i="6"/>
  <c r="AH58" i="6"/>
  <c r="AH63" i="6"/>
  <c r="AH66" i="6"/>
  <c r="AH74" i="6"/>
  <c r="AH79" i="6"/>
  <c r="AH82" i="6"/>
  <c r="AH87" i="6"/>
  <c r="AH61" i="6"/>
  <c r="AH64" i="6"/>
  <c r="AH77" i="6"/>
  <c r="AH80" i="6"/>
  <c r="AH89" i="6"/>
  <c r="AI58" i="6"/>
  <c r="AI63" i="6"/>
  <c r="AI66" i="6"/>
  <c r="AI74" i="6"/>
  <c r="AI79" i="6"/>
  <c r="AI82" i="6"/>
  <c r="AI87" i="6"/>
  <c r="AI61" i="6"/>
  <c r="AI64" i="6"/>
  <c r="AI77" i="6"/>
  <c r="AI80" i="6"/>
  <c r="AI89" i="6"/>
  <c r="AJ58" i="6"/>
  <c r="AJ63" i="6"/>
  <c r="AJ66" i="6"/>
  <c r="AJ74" i="6"/>
  <c r="AJ79" i="6"/>
  <c r="AJ82" i="6"/>
  <c r="AJ87" i="6"/>
  <c r="AJ61" i="6"/>
  <c r="AJ64" i="6"/>
  <c r="AJ77" i="6"/>
  <c r="AJ80" i="6"/>
  <c r="AJ89" i="6"/>
  <c r="AK58" i="6"/>
  <c r="AK63" i="6"/>
  <c r="AK66" i="6"/>
  <c r="AK74" i="6"/>
  <c r="AK79" i="6"/>
  <c r="AK82" i="6"/>
  <c r="AK87" i="6"/>
  <c r="AK61" i="6"/>
  <c r="AK64" i="6"/>
  <c r="AK77" i="6"/>
  <c r="AK80" i="6"/>
  <c r="AK89" i="6"/>
  <c r="AL58" i="6"/>
  <c r="AL63" i="6"/>
  <c r="AL66" i="6"/>
  <c r="AL74" i="6"/>
  <c r="AL79" i="6"/>
  <c r="AL82" i="6"/>
  <c r="AL87" i="6"/>
  <c r="AL61" i="6"/>
  <c r="AL64" i="6"/>
  <c r="AL77" i="6"/>
  <c r="AL80" i="6"/>
  <c r="AL89" i="6"/>
  <c r="AM58" i="6"/>
  <c r="AM63" i="6"/>
  <c r="AM66" i="6"/>
  <c r="AM74" i="6"/>
  <c r="AM79" i="6"/>
  <c r="AM82" i="6"/>
  <c r="AM87" i="6"/>
  <c r="AM61" i="6"/>
  <c r="AM64" i="6"/>
  <c r="AM77" i="6"/>
  <c r="AM80" i="6"/>
  <c r="AM89" i="6"/>
  <c r="AN58" i="6"/>
  <c r="AN63" i="6"/>
  <c r="AN66" i="6"/>
  <c r="AN74" i="6"/>
  <c r="AN79" i="6"/>
  <c r="AN82" i="6"/>
  <c r="AN87" i="6"/>
  <c r="AN61" i="6"/>
  <c r="AN64" i="6"/>
  <c r="AN77" i="6"/>
  <c r="AN80" i="6"/>
  <c r="AN89" i="6"/>
  <c r="AO58" i="6"/>
  <c r="AO63" i="6"/>
  <c r="AO66" i="6"/>
  <c r="AO74" i="6"/>
  <c r="AO79" i="6"/>
  <c r="AO82" i="6"/>
  <c r="AO87" i="6"/>
  <c r="AO61" i="6"/>
  <c r="AO64" i="6"/>
  <c r="AO77" i="6"/>
  <c r="AO80" i="6"/>
  <c r="AO89" i="6"/>
  <c r="AP58" i="6"/>
  <c r="AP63" i="6"/>
  <c r="AP66" i="6"/>
  <c r="AP74" i="6"/>
  <c r="AP79" i="6"/>
  <c r="AP82" i="6"/>
  <c r="AP87" i="6"/>
  <c r="AP61" i="6"/>
  <c r="AP64" i="6"/>
  <c r="AP77" i="6"/>
  <c r="AP80" i="6"/>
  <c r="AP89" i="6"/>
  <c r="AQ58" i="6"/>
  <c r="AQ63" i="6"/>
  <c r="AQ66" i="6"/>
  <c r="AQ74" i="6"/>
  <c r="AQ79" i="6"/>
  <c r="AQ82" i="6"/>
  <c r="AQ87" i="6"/>
  <c r="AQ61" i="6"/>
  <c r="AQ64" i="6"/>
  <c r="AQ77" i="6"/>
  <c r="AQ80" i="6"/>
  <c r="AQ89" i="6"/>
  <c r="AR58" i="6"/>
  <c r="AR63" i="6"/>
  <c r="AR66" i="6"/>
  <c r="AR74" i="6"/>
  <c r="AR79" i="6"/>
  <c r="AR82" i="6"/>
  <c r="AR87" i="6"/>
  <c r="AR61" i="6"/>
  <c r="AR64" i="6"/>
  <c r="AR77" i="6"/>
  <c r="AR80" i="6"/>
  <c r="AR89" i="6"/>
  <c r="AS58" i="6"/>
  <c r="AS63" i="6"/>
  <c r="AS66" i="6"/>
  <c r="AS74" i="6"/>
  <c r="AS79" i="6"/>
  <c r="AS82" i="6"/>
  <c r="AS87" i="6"/>
  <c r="AS61" i="6"/>
  <c r="AS64" i="6"/>
  <c r="AS77" i="6"/>
  <c r="AS80" i="6"/>
  <c r="AS89" i="6"/>
  <c r="AT58" i="6"/>
  <c r="AT63" i="6"/>
  <c r="AT66" i="6"/>
  <c r="AT74" i="6"/>
  <c r="AT79" i="6"/>
  <c r="AT82" i="6"/>
  <c r="AT87" i="6"/>
  <c r="AT61" i="6"/>
  <c r="AT64" i="6"/>
  <c r="AT77" i="6"/>
  <c r="AT80" i="6"/>
  <c r="AT89" i="6"/>
  <c r="AU58" i="6"/>
  <c r="AU63" i="6"/>
  <c r="AU66" i="6"/>
  <c r="AU74" i="6"/>
  <c r="AU79" i="6"/>
  <c r="AU82" i="6"/>
  <c r="AU87" i="6"/>
  <c r="AU61" i="6"/>
  <c r="AU64" i="6"/>
  <c r="AU77" i="6"/>
  <c r="AU80" i="6"/>
  <c r="AU89" i="6"/>
  <c r="AV58" i="6"/>
  <c r="AV63" i="6"/>
  <c r="AV66" i="6"/>
  <c r="AV74" i="6"/>
  <c r="AV79" i="6"/>
  <c r="AV82" i="6"/>
  <c r="AV87" i="6"/>
  <c r="AV61" i="6"/>
  <c r="AV64" i="6"/>
  <c r="AV77" i="6"/>
  <c r="AV80" i="6"/>
  <c r="AV89" i="6"/>
  <c r="AW58" i="6"/>
  <c r="AW63" i="6"/>
  <c r="AW66" i="6"/>
  <c r="AW74" i="6"/>
  <c r="AW79" i="6"/>
  <c r="AW82" i="6"/>
  <c r="AW87" i="6"/>
  <c r="AW61" i="6"/>
  <c r="AW64" i="6"/>
  <c r="AW77" i="6"/>
  <c r="AW80" i="6"/>
  <c r="AW89" i="6"/>
  <c r="AX58" i="6"/>
  <c r="AX63" i="6"/>
  <c r="AX66" i="6"/>
  <c r="AX74" i="6"/>
  <c r="AX79" i="6"/>
  <c r="AX82" i="6"/>
  <c r="AX87" i="6"/>
  <c r="AX61" i="6"/>
  <c r="AX64" i="6"/>
  <c r="AX77" i="6"/>
  <c r="AX80" i="6"/>
  <c r="AX89" i="6"/>
  <c r="AY58" i="6"/>
  <c r="AY63" i="6"/>
  <c r="AY66" i="6"/>
  <c r="AY74" i="6"/>
  <c r="AY79" i="6"/>
  <c r="AY82" i="6"/>
  <c r="AY87" i="6"/>
  <c r="AY61" i="6"/>
  <c r="AY64" i="6"/>
  <c r="AY77" i="6"/>
  <c r="AY80" i="6"/>
  <c r="AY89" i="6"/>
  <c r="AZ58" i="6"/>
  <c r="AZ63" i="6"/>
  <c r="AZ66" i="6"/>
  <c r="AZ74" i="6"/>
  <c r="AZ79" i="6"/>
  <c r="AZ82" i="6"/>
  <c r="AZ87" i="6"/>
  <c r="AZ61" i="6"/>
  <c r="AZ64" i="6"/>
  <c r="AZ77" i="6"/>
  <c r="AZ80" i="6"/>
  <c r="AZ89" i="6"/>
  <c r="BA58" i="6"/>
  <c r="BA63" i="6"/>
  <c r="BA66" i="6"/>
  <c r="BA74" i="6"/>
  <c r="BA79" i="6"/>
  <c r="BA82" i="6"/>
  <c r="BA87" i="6"/>
  <c r="BA61" i="6"/>
  <c r="BA64" i="6"/>
  <c r="BA77" i="6"/>
  <c r="BA80" i="6"/>
  <c r="BA89" i="6"/>
  <c r="BB58" i="6"/>
  <c r="BB63" i="6"/>
  <c r="BB66" i="6"/>
  <c r="BB74" i="6"/>
  <c r="BB79" i="6"/>
  <c r="BB82" i="6"/>
  <c r="BB87" i="6"/>
  <c r="BB61" i="6"/>
  <c r="BB64" i="6"/>
  <c r="BB77" i="6"/>
  <c r="BB80" i="6"/>
  <c r="BB89" i="6"/>
  <c r="BC58" i="6"/>
  <c r="BC63" i="6"/>
  <c r="BC66" i="6"/>
  <c r="BC74" i="6"/>
  <c r="BC79" i="6"/>
  <c r="BC82" i="6"/>
  <c r="BC87" i="6"/>
  <c r="BC61" i="6"/>
  <c r="BC64" i="6"/>
  <c r="BC77" i="6"/>
  <c r="BC80" i="6"/>
  <c r="BC89" i="6"/>
  <c r="BD58" i="6"/>
  <c r="BD63" i="6"/>
  <c r="BD66" i="6"/>
  <c r="BD74" i="6"/>
  <c r="BD79" i="6"/>
  <c r="BD82" i="6"/>
  <c r="BD87" i="6"/>
  <c r="BD61" i="6"/>
  <c r="BD64" i="6"/>
  <c r="BD77" i="6"/>
  <c r="BD80" i="6"/>
  <c r="BD89" i="6"/>
  <c r="DC58" i="6"/>
  <c r="DC63" i="6"/>
  <c r="DC66" i="6"/>
  <c r="DC74" i="6"/>
  <c r="DC79" i="6"/>
  <c r="DC82" i="6"/>
  <c r="DC87" i="6"/>
  <c r="DC61" i="6"/>
  <c r="DC64" i="6"/>
  <c r="DC77" i="6"/>
  <c r="DC80" i="6"/>
  <c r="DC89" i="6"/>
  <c r="H62" i="8"/>
  <c r="H70" i="8"/>
  <c r="H73" i="8"/>
  <c r="H81" i="8"/>
  <c r="H89" i="8"/>
  <c r="H92" i="8"/>
  <c r="H97" i="8"/>
  <c r="H65" i="8"/>
  <c r="H68" i="8"/>
  <c r="H71" i="8"/>
  <c r="H84" i="8"/>
  <c r="H87" i="8"/>
  <c r="H90" i="8"/>
  <c r="H99" i="8"/>
  <c r="I62" i="8"/>
  <c r="I70" i="8"/>
  <c r="I73" i="8"/>
  <c r="I81" i="8"/>
  <c r="I89" i="8"/>
  <c r="I92" i="8"/>
  <c r="I97" i="8"/>
  <c r="I65" i="8"/>
  <c r="I68" i="8"/>
  <c r="I71" i="8"/>
  <c r="I84" i="8"/>
  <c r="I87" i="8"/>
  <c r="I90" i="8"/>
  <c r="I99" i="8"/>
  <c r="J62" i="8"/>
  <c r="J70" i="8"/>
  <c r="J73" i="8"/>
  <c r="J81" i="8"/>
  <c r="J89" i="8"/>
  <c r="J92" i="8"/>
  <c r="J97" i="8"/>
  <c r="J65" i="8"/>
  <c r="J68" i="8"/>
  <c r="J71" i="8"/>
  <c r="J84" i="8"/>
  <c r="J87" i="8"/>
  <c r="J90" i="8"/>
  <c r="J99" i="8"/>
  <c r="K62" i="8"/>
  <c r="K70" i="8"/>
  <c r="K73" i="8"/>
  <c r="K81" i="8"/>
  <c r="K89" i="8"/>
  <c r="K92" i="8"/>
  <c r="K97" i="8"/>
  <c r="K65" i="8"/>
  <c r="K68" i="8"/>
  <c r="K71" i="8"/>
  <c r="K84" i="8"/>
  <c r="K87" i="8"/>
  <c r="K90" i="8"/>
  <c r="K99" i="8"/>
  <c r="L62" i="8"/>
  <c r="L70" i="8"/>
  <c r="L73" i="8"/>
  <c r="L81" i="8"/>
  <c r="L89" i="8"/>
  <c r="L92" i="8"/>
  <c r="L97" i="8"/>
  <c r="L65" i="8"/>
  <c r="L68" i="8"/>
  <c r="L71" i="8"/>
  <c r="L84" i="8"/>
  <c r="L87" i="8"/>
  <c r="L90" i="8"/>
  <c r="L99" i="8"/>
  <c r="M62" i="8"/>
  <c r="M70" i="8"/>
  <c r="M73" i="8"/>
  <c r="M81" i="8"/>
  <c r="M89" i="8"/>
  <c r="M92" i="8"/>
  <c r="M97" i="8"/>
  <c r="M65" i="8"/>
  <c r="M68" i="8"/>
  <c r="M71" i="8"/>
  <c r="M84" i="8"/>
  <c r="M87" i="8"/>
  <c r="M90" i="8"/>
  <c r="M99" i="8"/>
  <c r="N62" i="8"/>
  <c r="N70" i="8"/>
  <c r="N73" i="8"/>
  <c r="N81" i="8"/>
  <c r="N89" i="8"/>
  <c r="N92" i="8"/>
  <c r="N97" i="8"/>
  <c r="N65" i="8"/>
  <c r="N68" i="8"/>
  <c r="N71" i="8"/>
  <c r="N84" i="8"/>
  <c r="N87" i="8"/>
  <c r="N90" i="8"/>
  <c r="N99" i="8"/>
  <c r="O62" i="8"/>
  <c r="O70" i="8"/>
  <c r="O73" i="8"/>
  <c r="O81" i="8"/>
  <c r="O89" i="8"/>
  <c r="O92" i="8"/>
  <c r="O97" i="8"/>
  <c r="O65" i="8"/>
  <c r="O68" i="8"/>
  <c r="O71" i="8"/>
  <c r="O84" i="8"/>
  <c r="O87" i="8"/>
  <c r="O90" i="8"/>
  <c r="O99" i="8"/>
  <c r="P62" i="8"/>
  <c r="P70" i="8"/>
  <c r="P73" i="8"/>
  <c r="P81" i="8"/>
  <c r="P89" i="8"/>
  <c r="P92" i="8"/>
  <c r="P97" i="8"/>
  <c r="P65" i="8"/>
  <c r="P68" i="8"/>
  <c r="P71" i="8"/>
  <c r="P84" i="8"/>
  <c r="P87" i="8"/>
  <c r="P90" i="8"/>
  <c r="P99" i="8"/>
  <c r="Q62" i="8"/>
  <c r="Q70" i="8"/>
  <c r="Q73" i="8"/>
  <c r="Q81" i="8"/>
  <c r="Q89" i="8"/>
  <c r="Q92" i="8"/>
  <c r="Q97" i="8"/>
  <c r="Q65" i="8"/>
  <c r="Q68" i="8"/>
  <c r="Q71" i="8"/>
  <c r="Q84" i="8"/>
  <c r="Q87" i="8"/>
  <c r="Q90" i="8"/>
  <c r="Q99" i="8"/>
  <c r="R62" i="8"/>
  <c r="R70" i="8"/>
  <c r="R73" i="8"/>
  <c r="R81" i="8"/>
  <c r="R89" i="8"/>
  <c r="R92" i="8"/>
  <c r="R97" i="8"/>
  <c r="R65" i="8"/>
  <c r="R68" i="8"/>
  <c r="R71" i="8"/>
  <c r="R84" i="8"/>
  <c r="R87" i="8"/>
  <c r="R90" i="8"/>
  <c r="R99" i="8"/>
  <c r="S62" i="8"/>
  <c r="S70" i="8"/>
  <c r="S73" i="8"/>
  <c r="S81" i="8"/>
  <c r="S89" i="8"/>
  <c r="S92" i="8"/>
  <c r="S97" i="8"/>
  <c r="S65" i="8"/>
  <c r="S68" i="8"/>
  <c r="S71" i="8"/>
  <c r="S84" i="8"/>
  <c r="S87" i="8"/>
  <c r="S90" i="8"/>
  <c r="S99" i="8"/>
  <c r="T62" i="8"/>
  <c r="T70" i="8"/>
  <c r="T73" i="8"/>
  <c r="T81" i="8"/>
  <c r="T89" i="8"/>
  <c r="T92" i="8"/>
  <c r="T97" i="8"/>
  <c r="T65" i="8"/>
  <c r="T68" i="8"/>
  <c r="T71" i="8"/>
  <c r="T84" i="8"/>
  <c r="T87" i="8"/>
  <c r="T90" i="8"/>
  <c r="T99" i="8"/>
  <c r="U62" i="8"/>
  <c r="U70" i="8"/>
  <c r="U73" i="8"/>
  <c r="U81" i="8"/>
  <c r="U89" i="8"/>
  <c r="U92" i="8"/>
  <c r="U97" i="8"/>
  <c r="U65" i="8"/>
  <c r="U68" i="8"/>
  <c r="U71" i="8"/>
  <c r="U84" i="8"/>
  <c r="U87" i="8"/>
  <c r="U90" i="8"/>
  <c r="U99" i="8"/>
  <c r="V62" i="8"/>
  <c r="V70" i="8"/>
  <c r="V73" i="8"/>
  <c r="V81" i="8"/>
  <c r="V89" i="8"/>
  <c r="V92" i="8"/>
  <c r="V97" i="8"/>
  <c r="V65" i="8"/>
  <c r="V68" i="8"/>
  <c r="V71" i="8"/>
  <c r="V84" i="8"/>
  <c r="V87" i="8"/>
  <c r="V90" i="8"/>
  <c r="V99" i="8"/>
  <c r="W62" i="8"/>
  <c r="W70" i="8"/>
  <c r="W73" i="8"/>
  <c r="W81" i="8"/>
  <c r="W89" i="8"/>
  <c r="W92" i="8"/>
  <c r="W97" i="8"/>
  <c r="W65" i="8"/>
  <c r="W68" i="8"/>
  <c r="W71" i="8"/>
  <c r="W84" i="8"/>
  <c r="W87" i="8"/>
  <c r="W90" i="8"/>
  <c r="W99" i="8"/>
  <c r="X62" i="8"/>
  <c r="X70" i="8"/>
  <c r="X73" i="8"/>
  <c r="X81" i="8"/>
  <c r="X89" i="8"/>
  <c r="X92" i="8"/>
  <c r="X97" i="8"/>
  <c r="X65" i="8"/>
  <c r="X68" i="8"/>
  <c r="X71" i="8"/>
  <c r="X84" i="8"/>
  <c r="X87" i="8"/>
  <c r="X90" i="8"/>
  <c r="X99" i="8"/>
  <c r="Y62" i="8"/>
  <c r="Y70" i="8"/>
  <c r="Y73" i="8"/>
  <c r="Y81" i="8"/>
  <c r="Y89" i="8"/>
  <c r="Y92" i="8"/>
  <c r="Y97" i="8"/>
  <c r="Y65" i="8"/>
  <c r="Y68" i="8"/>
  <c r="Y71" i="8"/>
  <c r="Y84" i="8"/>
  <c r="Y87" i="8"/>
  <c r="Y90" i="8"/>
  <c r="Y99" i="8"/>
  <c r="Z62" i="8"/>
  <c r="Z70" i="8"/>
  <c r="Z73" i="8"/>
  <c r="Z81" i="8"/>
  <c r="Z89" i="8"/>
  <c r="Z92" i="8"/>
  <c r="Z97" i="8"/>
  <c r="Z65" i="8"/>
  <c r="Z68" i="8"/>
  <c r="Z71" i="8"/>
  <c r="Z84" i="8"/>
  <c r="Z87" i="8"/>
  <c r="Z90" i="8"/>
  <c r="Z99" i="8"/>
  <c r="DC62" i="8"/>
  <c r="DC70" i="8"/>
  <c r="DC73" i="8"/>
  <c r="DC81" i="8"/>
  <c r="DC89" i="8"/>
  <c r="DC92" i="8"/>
  <c r="DC97" i="8"/>
  <c r="DC65" i="8"/>
  <c r="DC68" i="8"/>
  <c r="DC71" i="8"/>
  <c r="DC84" i="8"/>
  <c r="DC87" i="8"/>
  <c r="DC90" i="8"/>
  <c r="DC99" i="8"/>
  <c r="H63" i="11"/>
  <c r="H71" i="11"/>
  <c r="H74" i="11"/>
  <c r="H82" i="11"/>
  <c r="H90" i="11"/>
  <c r="H93" i="11"/>
  <c r="H98" i="11"/>
  <c r="H66" i="11"/>
  <c r="H69" i="11"/>
  <c r="H72" i="11"/>
  <c r="H85" i="11"/>
  <c r="H88" i="11"/>
  <c r="H91" i="11"/>
  <c r="H100" i="11"/>
  <c r="I63" i="11"/>
  <c r="I71" i="11"/>
  <c r="I74" i="11"/>
  <c r="I82" i="11"/>
  <c r="I90" i="11"/>
  <c r="I93" i="11"/>
  <c r="I98" i="11"/>
  <c r="I66" i="11"/>
  <c r="I69" i="11"/>
  <c r="I72" i="11"/>
  <c r="I85" i="11"/>
  <c r="I88" i="11"/>
  <c r="I91" i="11"/>
  <c r="I100" i="11"/>
  <c r="J63" i="11"/>
  <c r="J71" i="11"/>
  <c r="J74" i="11"/>
  <c r="J82" i="11"/>
  <c r="J90" i="11"/>
  <c r="J93" i="11"/>
  <c r="J98" i="11"/>
  <c r="J66" i="11"/>
  <c r="J69" i="11"/>
  <c r="J72" i="11"/>
  <c r="J85" i="11"/>
  <c r="J88" i="11"/>
  <c r="J91" i="11"/>
  <c r="J100" i="11"/>
  <c r="K63" i="11"/>
  <c r="K71" i="11"/>
  <c r="K74" i="11"/>
  <c r="K82" i="11"/>
  <c r="K90" i="11"/>
  <c r="K93" i="11"/>
  <c r="K98" i="11"/>
  <c r="K66" i="11"/>
  <c r="K69" i="11"/>
  <c r="K72" i="11"/>
  <c r="K85" i="11"/>
  <c r="K88" i="11"/>
  <c r="K91" i="11"/>
  <c r="K100" i="11"/>
  <c r="L63" i="11"/>
  <c r="L71" i="11"/>
  <c r="L74" i="11"/>
  <c r="L82" i="11"/>
  <c r="L90" i="11"/>
  <c r="L93" i="11"/>
  <c r="L98" i="11"/>
  <c r="L66" i="11"/>
  <c r="L69" i="11"/>
  <c r="L72" i="11"/>
  <c r="L85" i="11"/>
  <c r="L88" i="11"/>
  <c r="L91" i="11"/>
  <c r="L100" i="11"/>
  <c r="M63" i="11"/>
  <c r="M71" i="11"/>
  <c r="M74" i="11"/>
  <c r="M82" i="11"/>
  <c r="M90" i="11"/>
  <c r="M93" i="11"/>
  <c r="M98" i="11"/>
  <c r="M66" i="11"/>
  <c r="M69" i="11"/>
  <c r="M72" i="11"/>
  <c r="M85" i="11"/>
  <c r="M88" i="11"/>
  <c r="M91" i="11"/>
  <c r="M100" i="11"/>
  <c r="N63" i="11"/>
  <c r="N71" i="11"/>
  <c r="N74" i="11"/>
  <c r="N82" i="11"/>
  <c r="N90" i="11"/>
  <c r="N93" i="11"/>
  <c r="N98" i="11"/>
  <c r="N66" i="11"/>
  <c r="N69" i="11"/>
  <c r="N72" i="11"/>
  <c r="N85" i="11"/>
  <c r="N88" i="11"/>
  <c r="N91" i="11"/>
  <c r="N100" i="11"/>
  <c r="O63" i="11"/>
  <c r="O71" i="11"/>
  <c r="O74" i="11"/>
  <c r="O82" i="11"/>
  <c r="O90" i="11"/>
  <c r="O93" i="11"/>
  <c r="O98" i="11"/>
  <c r="O66" i="11"/>
  <c r="O69" i="11"/>
  <c r="O72" i="11"/>
  <c r="O85" i="11"/>
  <c r="O88" i="11"/>
  <c r="O91" i="11"/>
  <c r="O100" i="11"/>
  <c r="P63" i="11"/>
  <c r="P71" i="11"/>
  <c r="P74" i="11"/>
  <c r="P82" i="11"/>
  <c r="P90" i="11"/>
  <c r="P93" i="11"/>
  <c r="P98" i="11"/>
  <c r="P66" i="11"/>
  <c r="P69" i="11"/>
  <c r="P72" i="11"/>
  <c r="P85" i="11"/>
  <c r="P88" i="11"/>
  <c r="P91" i="11"/>
  <c r="P100" i="11"/>
  <c r="Q63" i="11"/>
  <c r="Q71" i="11"/>
  <c r="Q74" i="11"/>
  <c r="Q82" i="11"/>
  <c r="Q90" i="11"/>
  <c r="Q93" i="11"/>
  <c r="Q98" i="11"/>
  <c r="Q66" i="11"/>
  <c r="Q69" i="11"/>
  <c r="Q72" i="11"/>
  <c r="Q85" i="11"/>
  <c r="Q88" i="11"/>
  <c r="Q91" i="11"/>
  <c r="Q100" i="11"/>
  <c r="R63" i="11"/>
  <c r="R71" i="11"/>
  <c r="R74" i="11"/>
  <c r="R82" i="11"/>
  <c r="R90" i="11"/>
  <c r="R93" i="11"/>
  <c r="R98" i="11"/>
  <c r="R66" i="11"/>
  <c r="R69" i="11"/>
  <c r="R72" i="11"/>
  <c r="R85" i="11"/>
  <c r="R88" i="11"/>
  <c r="R91" i="11"/>
  <c r="R100" i="11"/>
  <c r="S63" i="11"/>
  <c r="S71" i="11"/>
  <c r="S74" i="11"/>
  <c r="S82" i="11"/>
  <c r="S90" i="11"/>
  <c r="S93" i="11"/>
  <c r="S98" i="11"/>
  <c r="S66" i="11"/>
  <c r="S69" i="11"/>
  <c r="S72" i="11"/>
  <c r="S85" i="11"/>
  <c r="S88" i="11"/>
  <c r="S91" i="11"/>
  <c r="S100" i="11"/>
  <c r="T63" i="11"/>
  <c r="T71" i="11"/>
  <c r="T74" i="11"/>
  <c r="T82" i="11"/>
  <c r="T90" i="11"/>
  <c r="T93" i="11"/>
  <c r="T98" i="11"/>
  <c r="T66" i="11"/>
  <c r="T69" i="11"/>
  <c r="T72" i="11"/>
  <c r="T85" i="11"/>
  <c r="T88" i="11"/>
  <c r="T91" i="11"/>
  <c r="T100" i="11"/>
  <c r="U63" i="11"/>
  <c r="U71" i="11"/>
  <c r="U74" i="11"/>
  <c r="U82" i="11"/>
  <c r="U90" i="11"/>
  <c r="U93" i="11"/>
  <c r="U98" i="11"/>
  <c r="U66" i="11"/>
  <c r="U69" i="11"/>
  <c r="U72" i="11"/>
  <c r="U85" i="11"/>
  <c r="U88" i="11"/>
  <c r="U91" i="11"/>
  <c r="U100" i="11"/>
  <c r="V63" i="11"/>
  <c r="V71" i="11"/>
  <c r="V74" i="11"/>
  <c r="V82" i="11"/>
  <c r="V90" i="11"/>
  <c r="V93" i="11"/>
  <c r="V98" i="11"/>
  <c r="V66" i="11"/>
  <c r="V69" i="11"/>
  <c r="V72" i="11"/>
  <c r="V85" i="11"/>
  <c r="V88" i="11"/>
  <c r="V91" i="11"/>
  <c r="V100" i="11"/>
  <c r="W63" i="11"/>
  <c r="W71" i="11"/>
  <c r="W74" i="11"/>
  <c r="W82" i="11"/>
  <c r="W90" i="11"/>
  <c r="W93" i="11"/>
  <c r="W98" i="11"/>
  <c r="W66" i="11"/>
  <c r="W69" i="11"/>
  <c r="W72" i="11"/>
  <c r="W85" i="11"/>
  <c r="W88" i="11"/>
  <c r="W91" i="11"/>
  <c r="W100" i="11"/>
  <c r="X63" i="11"/>
  <c r="X71" i="11"/>
  <c r="X74" i="11"/>
  <c r="X82" i="11"/>
  <c r="X90" i="11"/>
  <c r="X93" i="11"/>
  <c r="X98" i="11"/>
  <c r="X66" i="11"/>
  <c r="X69" i="11"/>
  <c r="X72" i="11"/>
  <c r="X85" i="11"/>
  <c r="X88" i="11"/>
  <c r="X91" i="11"/>
  <c r="X100" i="11"/>
  <c r="Y63" i="11"/>
  <c r="Y71" i="11"/>
  <c r="Y74" i="11"/>
  <c r="Y82" i="11"/>
  <c r="Y90" i="11"/>
  <c r="Y93" i="11"/>
  <c r="Y98" i="11"/>
  <c r="Y66" i="11"/>
  <c r="Y69" i="11"/>
  <c r="Y72" i="11"/>
  <c r="Y85" i="11"/>
  <c r="Y88" i="11"/>
  <c r="Y91" i="11"/>
  <c r="Y100" i="11"/>
  <c r="Z63" i="11"/>
  <c r="Z71" i="11"/>
  <c r="Z74" i="11"/>
  <c r="Z82" i="11"/>
  <c r="Z90" i="11"/>
  <c r="Z93" i="11"/>
  <c r="Z98" i="11"/>
  <c r="Z66" i="11"/>
  <c r="Z69" i="11"/>
  <c r="Z72" i="11"/>
  <c r="Z85" i="11"/>
  <c r="Z88" i="11"/>
  <c r="Z91" i="11"/>
  <c r="Z100" i="11"/>
  <c r="AA63" i="11"/>
  <c r="AA71" i="11"/>
  <c r="AA74" i="11"/>
  <c r="AA82" i="11"/>
  <c r="AA90" i="11"/>
  <c r="AA93" i="11"/>
  <c r="AA98" i="11"/>
  <c r="AA66" i="11"/>
  <c r="AA69" i="11"/>
  <c r="AA72" i="11"/>
  <c r="AA85" i="11"/>
  <c r="AA88" i="11"/>
  <c r="AA91" i="11"/>
  <c r="AA100" i="11"/>
  <c r="AB63" i="11"/>
  <c r="AB71" i="11"/>
  <c r="AB74" i="11"/>
  <c r="AB82" i="11"/>
  <c r="AB90" i="11"/>
  <c r="AB93" i="11"/>
  <c r="AB98" i="11"/>
  <c r="AB66" i="11"/>
  <c r="AB69" i="11"/>
  <c r="AB72" i="11"/>
  <c r="AB85" i="11"/>
  <c r="AB88" i="11"/>
  <c r="AB91" i="11"/>
  <c r="AB100" i="11"/>
  <c r="AC63" i="11"/>
  <c r="AC71" i="11"/>
  <c r="AC74" i="11"/>
  <c r="AC82" i="11"/>
  <c r="AC90" i="11"/>
  <c r="AC93" i="11"/>
  <c r="AC98" i="11"/>
  <c r="AC66" i="11"/>
  <c r="AC69" i="11"/>
  <c r="AC72" i="11"/>
  <c r="AC85" i="11"/>
  <c r="AC88" i="11"/>
  <c r="AC91" i="11"/>
  <c r="AC100" i="11"/>
  <c r="AD63" i="11"/>
  <c r="AD71" i="11"/>
  <c r="AD74" i="11"/>
  <c r="AD82" i="11"/>
  <c r="AD90" i="11"/>
  <c r="AD93" i="11"/>
  <c r="AD98" i="11"/>
  <c r="AD66" i="11"/>
  <c r="AD69" i="11"/>
  <c r="AD72" i="11"/>
  <c r="AD85" i="11"/>
  <c r="AD88" i="11"/>
  <c r="AD91" i="11"/>
  <c r="AD100" i="11"/>
  <c r="AE63" i="11"/>
  <c r="AE71" i="11"/>
  <c r="AE74" i="11"/>
  <c r="AE82" i="11"/>
  <c r="AE90" i="11"/>
  <c r="AE93" i="11"/>
  <c r="AE98" i="11"/>
  <c r="AE66" i="11"/>
  <c r="AE69" i="11"/>
  <c r="AE72" i="11"/>
  <c r="AE85" i="11"/>
  <c r="AE88" i="11"/>
  <c r="AE91" i="11"/>
  <c r="AE100" i="11"/>
  <c r="AF63" i="11"/>
  <c r="AF71" i="11"/>
  <c r="AF74" i="11"/>
  <c r="AF82" i="11"/>
  <c r="AF90" i="11"/>
  <c r="AF93" i="11"/>
  <c r="AF98" i="11"/>
  <c r="AF66" i="11"/>
  <c r="AF69" i="11"/>
  <c r="AF72" i="11"/>
  <c r="AF85" i="11"/>
  <c r="AF88" i="11"/>
  <c r="AF91" i="11"/>
  <c r="AF100" i="11"/>
  <c r="AG63" i="11"/>
  <c r="AG71" i="11"/>
  <c r="AG74" i="11"/>
  <c r="AG82" i="11"/>
  <c r="AG90" i="11"/>
  <c r="AG93" i="11"/>
  <c r="AG98" i="11"/>
  <c r="AG66" i="11"/>
  <c r="AG69" i="11"/>
  <c r="AG72" i="11"/>
  <c r="AG85" i="11"/>
  <c r="AG88" i="11"/>
  <c r="AG91" i="11"/>
  <c r="AG100" i="11"/>
  <c r="AH63" i="11"/>
  <c r="AH71" i="11"/>
  <c r="AH74" i="11"/>
  <c r="AH82" i="11"/>
  <c r="AH90" i="11"/>
  <c r="AH93" i="11"/>
  <c r="AH98" i="11"/>
  <c r="AH66" i="11"/>
  <c r="AH69" i="11"/>
  <c r="AH72" i="11"/>
  <c r="AH85" i="11"/>
  <c r="AH88" i="11"/>
  <c r="AH91" i="11"/>
  <c r="AH100" i="11"/>
  <c r="AI63" i="11"/>
  <c r="AI71" i="11"/>
  <c r="AI74" i="11"/>
  <c r="AI82" i="11"/>
  <c r="AI90" i="11"/>
  <c r="AI93" i="11"/>
  <c r="AI98" i="11"/>
  <c r="AI66" i="11"/>
  <c r="AI69" i="11"/>
  <c r="AI72" i="11"/>
  <c r="AI85" i="11"/>
  <c r="AI88" i="11"/>
  <c r="AI91" i="11"/>
  <c r="AI100" i="11"/>
  <c r="AJ63" i="11"/>
  <c r="AJ71" i="11"/>
  <c r="AJ74" i="11"/>
  <c r="AJ82" i="11"/>
  <c r="AJ90" i="11"/>
  <c r="AJ93" i="11"/>
  <c r="AJ98" i="11"/>
  <c r="AJ66" i="11"/>
  <c r="AJ69" i="11"/>
  <c r="AJ72" i="11"/>
  <c r="AJ85" i="11"/>
  <c r="AJ88" i="11"/>
  <c r="AJ91" i="11"/>
  <c r="AJ100" i="11"/>
  <c r="AK63" i="11"/>
  <c r="AK71" i="11"/>
  <c r="AK74" i="11"/>
  <c r="AK82" i="11"/>
  <c r="AK90" i="11"/>
  <c r="AK93" i="11"/>
  <c r="AK98" i="11"/>
  <c r="AK66" i="11"/>
  <c r="AK69" i="11"/>
  <c r="AK72" i="11"/>
  <c r="AK85" i="11"/>
  <c r="AK88" i="11"/>
  <c r="AK91" i="11"/>
  <c r="AK100" i="11"/>
  <c r="AL63" i="11"/>
  <c r="AL71" i="11"/>
  <c r="AL74" i="11"/>
  <c r="AL82" i="11"/>
  <c r="AL90" i="11"/>
  <c r="AL93" i="11"/>
  <c r="AL98" i="11"/>
  <c r="AL66" i="11"/>
  <c r="AL69" i="11"/>
  <c r="AL72" i="11"/>
  <c r="AL85" i="11"/>
  <c r="AL88" i="11"/>
  <c r="AL91" i="11"/>
  <c r="AL100" i="11"/>
  <c r="AM63" i="11"/>
  <c r="AM71" i="11"/>
  <c r="AM74" i="11"/>
  <c r="AM82" i="11"/>
  <c r="AM90" i="11"/>
  <c r="AM93" i="11"/>
  <c r="AM98" i="11"/>
  <c r="AM66" i="11"/>
  <c r="AM69" i="11"/>
  <c r="AM72" i="11"/>
  <c r="AM85" i="11"/>
  <c r="AM88" i="11"/>
  <c r="AM91" i="11"/>
  <c r="AM100" i="11"/>
  <c r="AN63" i="11"/>
  <c r="AN71" i="11"/>
  <c r="AN74" i="11"/>
  <c r="AN82" i="11"/>
  <c r="AN90" i="11"/>
  <c r="AN93" i="11"/>
  <c r="AN98" i="11"/>
  <c r="AN66" i="11"/>
  <c r="AN69" i="11"/>
  <c r="AN72" i="11"/>
  <c r="AN85" i="11"/>
  <c r="AN88" i="11"/>
  <c r="AN91" i="11"/>
  <c r="AN100" i="11"/>
  <c r="AO63" i="11"/>
  <c r="AO71" i="11"/>
  <c r="AO74" i="11"/>
  <c r="AO82" i="11"/>
  <c r="AO90" i="11"/>
  <c r="AO93" i="11"/>
  <c r="AO98" i="11"/>
  <c r="AO66" i="11"/>
  <c r="AO69" i="11"/>
  <c r="AO72" i="11"/>
  <c r="AO85" i="11"/>
  <c r="AO88" i="11"/>
  <c r="AO91" i="11"/>
  <c r="AO100" i="11"/>
  <c r="AP63" i="11"/>
  <c r="AP71" i="11"/>
  <c r="AP74" i="11"/>
  <c r="AP82" i="11"/>
  <c r="AP90" i="11"/>
  <c r="AP93" i="11"/>
  <c r="AP98" i="11"/>
  <c r="AP66" i="11"/>
  <c r="AP69" i="11"/>
  <c r="AP72" i="11"/>
  <c r="AP85" i="11"/>
  <c r="AP88" i="11"/>
  <c r="AP91" i="11"/>
  <c r="AP100" i="11"/>
  <c r="AQ63" i="11"/>
  <c r="AQ71" i="11"/>
  <c r="AQ74" i="11"/>
  <c r="AQ82" i="11"/>
  <c r="AQ90" i="11"/>
  <c r="AQ93" i="11"/>
  <c r="AQ98" i="11"/>
  <c r="AQ66" i="11"/>
  <c r="AQ69" i="11"/>
  <c r="AQ72" i="11"/>
  <c r="AQ85" i="11"/>
  <c r="AQ88" i="11"/>
  <c r="AQ91" i="11"/>
  <c r="AQ100" i="11"/>
  <c r="AR63" i="11"/>
  <c r="AR71" i="11"/>
  <c r="AR74" i="11"/>
  <c r="AR82" i="11"/>
  <c r="AR90" i="11"/>
  <c r="AR93" i="11"/>
  <c r="AR98" i="11"/>
  <c r="AR66" i="11"/>
  <c r="AR69" i="11"/>
  <c r="AR72" i="11"/>
  <c r="AR85" i="11"/>
  <c r="AR88" i="11"/>
  <c r="AR91" i="11"/>
  <c r="AR100" i="11"/>
  <c r="AS63" i="11"/>
  <c r="AS71" i="11"/>
  <c r="AS74" i="11"/>
  <c r="AS82" i="11"/>
  <c r="AS90" i="11"/>
  <c r="AS93" i="11"/>
  <c r="AS98" i="11"/>
  <c r="AS66" i="11"/>
  <c r="AS69" i="11"/>
  <c r="AS72" i="11"/>
  <c r="AS85" i="11"/>
  <c r="AS88" i="11"/>
  <c r="AS91" i="11"/>
  <c r="AS100" i="11"/>
  <c r="AT63" i="11"/>
  <c r="AT71" i="11"/>
  <c r="AT74" i="11"/>
  <c r="AT82" i="11"/>
  <c r="AT90" i="11"/>
  <c r="AT93" i="11"/>
  <c r="AT98" i="11"/>
  <c r="AT66" i="11"/>
  <c r="AT69" i="11"/>
  <c r="AT72" i="11"/>
  <c r="AT85" i="11"/>
  <c r="AT88" i="11"/>
  <c r="AT91" i="11"/>
  <c r="AT100" i="11"/>
  <c r="AU63" i="11"/>
  <c r="AU71" i="11"/>
  <c r="AU74" i="11"/>
  <c r="AU82" i="11"/>
  <c r="AU90" i="11"/>
  <c r="AU93" i="11"/>
  <c r="AU98" i="11"/>
  <c r="AU66" i="11"/>
  <c r="AU69" i="11"/>
  <c r="AU72" i="11"/>
  <c r="AU85" i="11"/>
  <c r="AU88" i="11"/>
  <c r="AU91" i="11"/>
  <c r="AU100" i="11"/>
  <c r="AV63" i="11"/>
  <c r="AV71" i="11"/>
  <c r="AV74" i="11"/>
  <c r="AV82" i="11"/>
  <c r="AV90" i="11"/>
  <c r="AV93" i="11"/>
  <c r="AV98" i="11"/>
  <c r="AV66" i="11"/>
  <c r="AV69" i="11"/>
  <c r="AV72" i="11"/>
  <c r="AV85" i="11"/>
  <c r="AV88" i="11"/>
  <c r="AV91" i="11"/>
  <c r="AV100" i="11"/>
  <c r="AW63" i="11"/>
  <c r="AW71" i="11"/>
  <c r="AW74" i="11"/>
  <c r="AW82" i="11"/>
  <c r="AW90" i="11"/>
  <c r="AW93" i="11"/>
  <c r="AW98" i="11"/>
  <c r="AW66" i="11"/>
  <c r="AW69" i="11"/>
  <c r="AW72" i="11"/>
  <c r="AW85" i="11"/>
  <c r="AW88" i="11"/>
  <c r="AW91" i="11"/>
  <c r="AW100" i="11"/>
  <c r="AX63" i="11"/>
  <c r="AX71" i="11"/>
  <c r="AX74" i="11"/>
  <c r="AX82" i="11"/>
  <c r="AX90" i="11"/>
  <c r="AX93" i="11"/>
  <c r="AX98" i="11"/>
  <c r="AX66" i="11"/>
  <c r="AX69" i="11"/>
  <c r="AX72" i="11"/>
  <c r="AX85" i="11"/>
  <c r="AX88" i="11"/>
  <c r="AX91" i="11"/>
  <c r="AX100" i="11"/>
  <c r="AY63" i="11"/>
  <c r="AY71" i="11"/>
  <c r="AY74" i="11"/>
  <c r="AY82" i="11"/>
  <c r="AY90" i="11"/>
  <c r="AY93" i="11"/>
  <c r="AY98" i="11"/>
  <c r="AY66" i="11"/>
  <c r="AY69" i="11"/>
  <c r="AY72" i="11"/>
  <c r="AY85" i="11"/>
  <c r="AY88" i="11"/>
  <c r="AY91" i="11"/>
  <c r="AY100" i="11"/>
  <c r="AZ63" i="11"/>
  <c r="AZ71" i="11"/>
  <c r="AZ74" i="11"/>
  <c r="AZ82" i="11"/>
  <c r="AZ90" i="11"/>
  <c r="AZ93" i="11"/>
  <c r="AZ98" i="11"/>
  <c r="AZ66" i="11"/>
  <c r="AZ69" i="11"/>
  <c r="AZ72" i="11"/>
  <c r="AZ85" i="11"/>
  <c r="AZ88" i="11"/>
  <c r="AZ91" i="11"/>
  <c r="AZ100" i="11"/>
  <c r="BA63" i="11"/>
  <c r="BA71" i="11"/>
  <c r="BA74" i="11"/>
  <c r="BA82" i="11"/>
  <c r="BA90" i="11"/>
  <c r="BA93" i="11"/>
  <c r="BA98" i="11"/>
  <c r="BA66" i="11"/>
  <c r="BA69" i="11"/>
  <c r="BA72" i="11"/>
  <c r="BA85" i="11"/>
  <c r="BA88" i="11"/>
  <c r="BA91" i="11"/>
  <c r="BA100" i="11"/>
  <c r="BB63" i="11"/>
  <c r="BB71" i="11"/>
  <c r="BB74" i="11"/>
  <c r="BB82" i="11"/>
  <c r="BB90" i="11"/>
  <c r="BB93" i="11"/>
  <c r="BB98" i="11"/>
  <c r="BB66" i="11"/>
  <c r="BB69" i="11"/>
  <c r="BB72" i="11"/>
  <c r="BB85" i="11"/>
  <c r="BB88" i="11"/>
  <c r="BB91" i="11"/>
  <c r="BB100" i="11"/>
  <c r="BC63" i="11"/>
  <c r="BC71" i="11"/>
  <c r="BC74" i="11"/>
  <c r="BC82" i="11"/>
  <c r="BC90" i="11"/>
  <c r="BC93" i="11"/>
  <c r="BC98" i="11"/>
  <c r="BC66" i="11"/>
  <c r="BC69" i="11"/>
  <c r="BC72" i="11"/>
  <c r="BC85" i="11"/>
  <c r="BC88" i="11"/>
  <c r="BC91" i="11"/>
  <c r="BC100" i="11"/>
  <c r="BD63" i="11"/>
  <c r="BD71" i="11"/>
  <c r="BD74" i="11"/>
  <c r="BD82" i="11"/>
  <c r="BD90" i="11"/>
  <c r="BD93" i="11"/>
  <c r="BD98" i="11"/>
  <c r="BD66" i="11"/>
  <c r="BD69" i="11"/>
  <c r="BD72" i="11"/>
  <c r="BD85" i="11"/>
  <c r="BD88" i="11"/>
  <c r="BD91" i="11"/>
  <c r="BD100" i="11"/>
  <c r="DC63" i="11"/>
  <c r="DC71" i="11"/>
  <c r="DC74" i="11"/>
  <c r="DC82" i="11"/>
  <c r="DC90" i="11"/>
  <c r="DC93" i="11"/>
  <c r="DC98" i="11"/>
  <c r="DC66" i="11"/>
  <c r="DC69" i="11"/>
  <c r="DC72" i="11"/>
  <c r="DC85" i="11"/>
  <c r="DC88" i="11"/>
  <c r="DC91" i="11"/>
  <c r="DC100" i="11"/>
  <c r="H58" i="13"/>
  <c r="H66" i="13"/>
  <c r="H69" i="13"/>
  <c r="H77" i="13"/>
  <c r="H85" i="13"/>
  <c r="H88" i="13"/>
  <c r="H93" i="13"/>
  <c r="H61" i="13"/>
  <c r="H64" i="13"/>
  <c r="H67" i="13"/>
  <c r="H80" i="13"/>
  <c r="H83" i="13"/>
  <c r="H86" i="13"/>
  <c r="H95" i="13"/>
  <c r="I58" i="13"/>
  <c r="I66" i="13"/>
  <c r="I69" i="13"/>
  <c r="I77" i="13"/>
  <c r="I85" i="13"/>
  <c r="I88" i="13"/>
  <c r="I93" i="13"/>
  <c r="I61" i="13"/>
  <c r="I64" i="13"/>
  <c r="I67" i="13"/>
  <c r="I80" i="13"/>
  <c r="I83" i="13"/>
  <c r="I86" i="13"/>
  <c r="I95" i="13"/>
  <c r="J58" i="13"/>
  <c r="J66" i="13"/>
  <c r="J69" i="13"/>
  <c r="J77" i="13"/>
  <c r="J85" i="13"/>
  <c r="J88" i="13"/>
  <c r="J93" i="13"/>
  <c r="J61" i="13"/>
  <c r="J64" i="13"/>
  <c r="J67" i="13"/>
  <c r="J80" i="13"/>
  <c r="J83" i="13"/>
  <c r="J86" i="13"/>
  <c r="J95" i="13"/>
  <c r="K58" i="13"/>
  <c r="K66" i="13"/>
  <c r="K69" i="13"/>
  <c r="K77" i="13"/>
  <c r="K85" i="13"/>
  <c r="K88" i="13"/>
  <c r="K93" i="13"/>
  <c r="K61" i="13"/>
  <c r="K64" i="13"/>
  <c r="K67" i="13"/>
  <c r="K80" i="13"/>
  <c r="K83" i="13"/>
  <c r="K86" i="13"/>
  <c r="K95" i="13"/>
  <c r="L58" i="13"/>
  <c r="L66" i="13"/>
  <c r="L69" i="13"/>
  <c r="L77" i="13"/>
  <c r="L85" i="13"/>
  <c r="L88" i="13"/>
  <c r="L93" i="13"/>
  <c r="L61" i="13"/>
  <c r="L64" i="13"/>
  <c r="L67" i="13"/>
  <c r="L80" i="13"/>
  <c r="L83" i="13"/>
  <c r="L86" i="13"/>
  <c r="L95" i="13"/>
  <c r="M58" i="13"/>
  <c r="M66" i="13"/>
  <c r="M69" i="13"/>
  <c r="M77" i="13"/>
  <c r="M85" i="13"/>
  <c r="M88" i="13"/>
  <c r="M93" i="13"/>
  <c r="M61" i="13"/>
  <c r="M64" i="13"/>
  <c r="M67" i="13"/>
  <c r="M80" i="13"/>
  <c r="M83" i="13"/>
  <c r="M86" i="13"/>
  <c r="M95" i="13"/>
  <c r="N58" i="13"/>
  <c r="N66" i="13"/>
  <c r="N69" i="13"/>
  <c r="N77" i="13"/>
  <c r="N85" i="13"/>
  <c r="N88" i="13"/>
  <c r="N93" i="13"/>
  <c r="N61" i="13"/>
  <c r="N64" i="13"/>
  <c r="N67" i="13"/>
  <c r="N80" i="13"/>
  <c r="N83" i="13"/>
  <c r="N86" i="13"/>
  <c r="N95" i="13"/>
  <c r="O58" i="13"/>
  <c r="O66" i="13"/>
  <c r="O69" i="13"/>
  <c r="O77" i="13"/>
  <c r="O85" i="13"/>
  <c r="O88" i="13"/>
  <c r="O93" i="13"/>
  <c r="O61" i="13"/>
  <c r="O64" i="13"/>
  <c r="O67" i="13"/>
  <c r="O80" i="13"/>
  <c r="O83" i="13"/>
  <c r="O86" i="13"/>
  <c r="O95" i="13"/>
  <c r="P58" i="13"/>
  <c r="P66" i="13"/>
  <c r="P69" i="13"/>
  <c r="P77" i="13"/>
  <c r="P85" i="13"/>
  <c r="P88" i="13"/>
  <c r="P93" i="13"/>
  <c r="P61" i="13"/>
  <c r="P64" i="13"/>
  <c r="P67" i="13"/>
  <c r="P80" i="13"/>
  <c r="P83" i="13"/>
  <c r="P86" i="13"/>
  <c r="P95" i="13"/>
  <c r="Q58" i="13"/>
  <c r="Q66" i="13"/>
  <c r="Q69" i="13"/>
  <c r="Q77" i="13"/>
  <c r="Q85" i="13"/>
  <c r="Q88" i="13"/>
  <c r="Q93" i="13"/>
  <c r="Q61" i="13"/>
  <c r="Q64" i="13"/>
  <c r="Q67" i="13"/>
  <c r="Q80" i="13"/>
  <c r="Q83" i="13"/>
  <c r="Q86" i="13"/>
  <c r="Q95" i="13"/>
  <c r="R58" i="13"/>
  <c r="R66" i="13"/>
  <c r="R69" i="13"/>
  <c r="R77" i="13"/>
  <c r="R85" i="13"/>
  <c r="R88" i="13"/>
  <c r="R93" i="13"/>
  <c r="R61" i="13"/>
  <c r="R64" i="13"/>
  <c r="R67" i="13"/>
  <c r="R80" i="13"/>
  <c r="R83" i="13"/>
  <c r="R86" i="13"/>
  <c r="R95" i="13"/>
  <c r="S58" i="13"/>
  <c r="S66" i="13"/>
  <c r="S69" i="13"/>
  <c r="S77" i="13"/>
  <c r="S85" i="13"/>
  <c r="S88" i="13"/>
  <c r="S93" i="13"/>
  <c r="S61" i="13"/>
  <c r="S64" i="13"/>
  <c r="S67" i="13"/>
  <c r="S80" i="13"/>
  <c r="S83" i="13"/>
  <c r="S86" i="13"/>
  <c r="S95" i="13"/>
  <c r="T58" i="13"/>
  <c r="T66" i="13"/>
  <c r="T69" i="13"/>
  <c r="T77" i="13"/>
  <c r="T85" i="13"/>
  <c r="T88" i="13"/>
  <c r="T93" i="13"/>
  <c r="T61" i="13"/>
  <c r="T64" i="13"/>
  <c r="T67" i="13"/>
  <c r="T80" i="13"/>
  <c r="T83" i="13"/>
  <c r="T86" i="13"/>
  <c r="T95" i="13"/>
  <c r="U58" i="13"/>
  <c r="U66" i="13"/>
  <c r="U69" i="13"/>
  <c r="U77" i="13"/>
  <c r="U85" i="13"/>
  <c r="U88" i="13"/>
  <c r="U93" i="13"/>
  <c r="U61" i="13"/>
  <c r="U64" i="13"/>
  <c r="U67" i="13"/>
  <c r="U80" i="13"/>
  <c r="U83" i="13"/>
  <c r="U86" i="13"/>
  <c r="U95" i="13"/>
  <c r="V58" i="13"/>
  <c r="V66" i="13"/>
  <c r="V69" i="13"/>
  <c r="V77" i="13"/>
  <c r="V85" i="13"/>
  <c r="V88" i="13"/>
  <c r="V93" i="13"/>
  <c r="V61" i="13"/>
  <c r="V64" i="13"/>
  <c r="V67" i="13"/>
  <c r="V80" i="13"/>
  <c r="V83" i="13"/>
  <c r="V86" i="13"/>
  <c r="V95" i="13"/>
  <c r="W58" i="13"/>
  <c r="W66" i="13"/>
  <c r="W69" i="13"/>
  <c r="W77" i="13"/>
  <c r="W85" i="13"/>
  <c r="W88" i="13"/>
  <c r="W93" i="13"/>
  <c r="W61" i="13"/>
  <c r="W64" i="13"/>
  <c r="W67" i="13"/>
  <c r="W80" i="13"/>
  <c r="W83" i="13"/>
  <c r="W86" i="13"/>
  <c r="W95" i="13"/>
  <c r="X58" i="13"/>
  <c r="X66" i="13"/>
  <c r="X69" i="13"/>
  <c r="X77" i="13"/>
  <c r="X85" i="13"/>
  <c r="X88" i="13"/>
  <c r="X93" i="13"/>
  <c r="X61" i="13"/>
  <c r="X64" i="13"/>
  <c r="X67" i="13"/>
  <c r="X80" i="13"/>
  <c r="X83" i="13"/>
  <c r="X86" i="13"/>
  <c r="X95" i="13"/>
  <c r="Y58" i="13"/>
  <c r="Y66" i="13"/>
  <c r="Y69" i="13"/>
  <c r="Y77" i="13"/>
  <c r="Y85" i="13"/>
  <c r="Y88" i="13"/>
  <c r="Y93" i="13"/>
  <c r="Y61" i="13"/>
  <c r="Y64" i="13"/>
  <c r="Y67" i="13"/>
  <c r="Y80" i="13"/>
  <c r="Y83" i="13"/>
  <c r="Y86" i="13"/>
  <c r="Y95" i="13"/>
  <c r="Z58" i="13"/>
  <c r="Z66" i="13"/>
  <c r="Z69" i="13"/>
  <c r="Z77" i="13"/>
  <c r="Z85" i="13"/>
  <c r="Z88" i="13"/>
  <c r="Z93" i="13"/>
  <c r="Z61" i="13"/>
  <c r="Z64" i="13"/>
  <c r="Z67" i="13"/>
  <c r="Z80" i="13"/>
  <c r="Z83" i="13"/>
  <c r="Z86" i="13"/>
  <c r="Z95" i="13"/>
  <c r="DC58" i="13"/>
  <c r="DC66" i="13"/>
  <c r="DC69" i="13"/>
  <c r="DC77" i="13"/>
  <c r="DC85" i="13"/>
  <c r="DC88" i="13"/>
  <c r="DC93" i="13"/>
  <c r="DC61" i="13"/>
  <c r="DC64" i="13"/>
  <c r="DC67" i="13"/>
  <c r="DC80" i="13"/>
  <c r="DC83" i="13"/>
  <c r="DC86" i="13"/>
  <c r="DC95" i="13"/>
  <c r="N39" i="15"/>
  <c r="G53" i="15"/>
  <c r="G55" i="15"/>
  <c r="H33" i="17"/>
  <c r="H35" i="17"/>
  <c r="H38" i="17"/>
  <c r="H39" i="17"/>
  <c r="H45" i="17"/>
  <c r="I33" i="17"/>
  <c r="I35" i="17"/>
  <c r="I38" i="17"/>
  <c r="I39" i="17"/>
  <c r="I45" i="17"/>
  <c r="J33" i="17"/>
  <c r="J35" i="17"/>
  <c r="J38" i="17"/>
  <c r="J39" i="17"/>
  <c r="J45" i="17"/>
  <c r="K33" i="17"/>
  <c r="K35" i="17"/>
  <c r="K38" i="17"/>
  <c r="K39" i="17"/>
  <c r="K45" i="17"/>
  <c r="L33" i="17"/>
  <c r="L35" i="17"/>
  <c r="L38" i="17"/>
  <c r="L39" i="17"/>
  <c r="L45" i="17"/>
  <c r="M33" i="17"/>
  <c r="M35" i="17"/>
  <c r="M38" i="17"/>
  <c r="M39" i="17"/>
  <c r="M45" i="17"/>
  <c r="N33" i="17"/>
  <c r="N35" i="17"/>
  <c r="N38" i="17"/>
  <c r="N39" i="17"/>
  <c r="N45" i="17"/>
  <c r="O33" i="17"/>
  <c r="O35" i="17"/>
  <c r="O38" i="17"/>
  <c r="O39" i="17"/>
  <c r="O45" i="17"/>
  <c r="P33" i="17"/>
  <c r="P35" i="17"/>
  <c r="P38" i="17"/>
  <c r="P39" i="17"/>
  <c r="P45" i="17"/>
  <c r="Q33" i="17"/>
  <c r="Q35" i="17"/>
  <c r="Q38" i="17"/>
  <c r="Q39" i="17"/>
  <c r="Q45" i="17"/>
  <c r="R33" i="17"/>
  <c r="R35" i="17"/>
  <c r="R38" i="17"/>
  <c r="R39" i="17"/>
  <c r="R45" i="17"/>
  <c r="S33" i="17"/>
  <c r="S35" i="17"/>
  <c r="S38" i="17"/>
  <c r="S39" i="17"/>
  <c r="S45" i="17"/>
  <c r="T33" i="17"/>
  <c r="T35" i="17"/>
  <c r="T38" i="17"/>
  <c r="T39" i="17"/>
  <c r="T45" i="17"/>
  <c r="U33" i="17"/>
  <c r="U35" i="17"/>
  <c r="U38" i="17"/>
  <c r="U39" i="17"/>
  <c r="U45" i="17"/>
  <c r="V33" i="17"/>
  <c r="V35" i="17"/>
  <c r="V38" i="17"/>
  <c r="V39" i="17"/>
  <c r="V45" i="17"/>
  <c r="W33" i="17"/>
  <c r="W35" i="17"/>
  <c r="W38" i="17"/>
  <c r="W39" i="17"/>
  <c r="W45" i="17"/>
  <c r="X33" i="17"/>
  <c r="X35" i="17"/>
  <c r="X38" i="17"/>
  <c r="X39" i="17"/>
  <c r="X45" i="17"/>
  <c r="Y33" i="17"/>
  <c r="Y35" i="17"/>
  <c r="Y38" i="17"/>
  <c r="Y39" i="17"/>
  <c r="Y45" i="17"/>
  <c r="H60" i="19"/>
  <c r="H68" i="19"/>
  <c r="H71" i="19"/>
  <c r="H79" i="19"/>
  <c r="H87" i="19"/>
  <c r="H90" i="19"/>
  <c r="H95" i="19"/>
  <c r="H63" i="19"/>
  <c r="H66" i="19"/>
  <c r="H69" i="19"/>
  <c r="H82" i="19"/>
  <c r="H85" i="19"/>
  <c r="H88" i="19"/>
  <c r="H97" i="19"/>
  <c r="I60" i="19"/>
  <c r="I68" i="19"/>
  <c r="I71" i="19"/>
  <c r="I79" i="19"/>
  <c r="I87" i="19"/>
  <c r="I90" i="19"/>
  <c r="I95" i="19"/>
  <c r="I63" i="19"/>
  <c r="I66" i="19"/>
  <c r="I69" i="19"/>
  <c r="I82" i="19"/>
  <c r="I85" i="19"/>
  <c r="I88" i="19"/>
  <c r="I97" i="19"/>
  <c r="J60" i="19"/>
  <c r="J68" i="19"/>
  <c r="J71" i="19"/>
  <c r="J79" i="19"/>
  <c r="J87" i="19"/>
  <c r="J90" i="19"/>
  <c r="J95" i="19"/>
  <c r="J63" i="19"/>
  <c r="J66" i="19"/>
  <c r="J69" i="19"/>
  <c r="J82" i="19"/>
  <c r="J85" i="19"/>
  <c r="J88" i="19"/>
  <c r="J97" i="19"/>
  <c r="K60" i="19"/>
  <c r="K68" i="19"/>
  <c r="K71" i="19"/>
  <c r="K79" i="19"/>
  <c r="K87" i="19"/>
  <c r="K90" i="19"/>
  <c r="K95" i="19"/>
  <c r="K63" i="19"/>
  <c r="K66" i="19"/>
  <c r="K69" i="19"/>
  <c r="K82" i="19"/>
  <c r="K85" i="19"/>
  <c r="K88" i="19"/>
  <c r="K97" i="19"/>
  <c r="L60" i="19"/>
  <c r="L68" i="19"/>
  <c r="L71" i="19"/>
  <c r="L79" i="19"/>
  <c r="L87" i="19"/>
  <c r="L90" i="19"/>
  <c r="L95" i="19"/>
  <c r="L63" i="19"/>
  <c r="L66" i="19"/>
  <c r="L69" i="19"/>
  <c r="L82" i="19"/>
  <c r="L85" i="19"/>
  <c r="L88" i="19"/>
  <c r="L97" i="19"/>
  <c r="M60" i="19"/>
  <c r="M68" i="19"/>
  <c r="M71" i="19"/>
  <c r="M79" i="19"/>
  <c r="M87" i="19"/>
  <c r="M90" i="19"/>
  <c r="M95" i="19"/>
  <c r="M63" i="19"/>
  <c r="M66" i="19"/>
  <c r="M69" i="19"/>
  <c r="M82" i="19"/>
  <c r="M85" i="19"/>
  <c r="M88" i="19"/>
  <c r="M97" i="19"/>
  <c r="N60" i="19"/>
  <c r="N68" i="19"/>
  <c r="N71" i="19"/>
  <c r="N79" i="19"/>
  <c r="N87" i="19"/>
  <c r="N90" i="19"/>
  <c r="N95" i="19"/>
  <c r="N63" i="19"/>
  <c r="N66" i="19"/>
  <c r="N69" i="19"/>
  <c r="N82" i="19"/>
  <c r="N85" i="19"/>
  <c r="N88" i="19"/>
  <c r="N97" i="19"/>
  <c r="O60" i="19"/>
  <c r="O68" i="19"/>
  <c r="O71" i="19"/>
  <c r="O79" i="19"/>
  <c r="O87" i="19"/>
  <c r="O90" i="19"/>
  <c r="O95" i="19"/>
  <c r="O63" i="19"/>
  <c r="O66" i="19"/>
  <c r="O69" i="19"/>
  <c r="O82" i="19"/>
  <c r="O85" i="19"/>
  <c r="O88" i="19"/>
  <c r="O97" i="19"/>
  <c r="P60" i="19"/>
  <c r="P68" i="19"/>
  <c r="P71" i="19"/>
  <c r="P79" i="19"/>
  <c r="P87" i="19"/>
  <c r="P90" i="19"/>
  <c r="P95" i="19"/>
  <c r="P63" i="19"/>
  <c r="P66" i="19"/>
  <c r="P69" i="19"/>
  <c r="P82" i="19"/>
  <c r="P85" i="19"/>
  <c r="P88" i="19"/>
  <c r="P97" i="19"/>
  <c r="Q60" i="19"/>
  <c r="Q68" i="19"/>
  <c r="Q71" i="19"/>
  <c r="Q79" i="19"/>
  <c r="Q87" i="19"/>
  <c r="Q90" i="19"/>
  <c r="Q95" i="19"/>
  <c r="Q63" i="19"/>
  <c r="Q66" i="19"/>
  <c r="Q69" i="19"/>
  <c r="Q82" i="19"/>
  <c r="Q85" i="19"/>
  <c r="Q88" i="19"/>
  <c r="Q97" i="19"/>
  <c r="R60" i="19"/>
  <c r="R68" i="19"/>
  <c r="R71" i="19"/>
  <c r="R79" i="19"/>
  <c r="R87" i="19"/>
  <c r="R90" i="19"/>
  <c r="R95" i="19"/>
  <c r="R63" i="19"/>
  <c r="R66" i="19"/>
  <c r="R69" i="19"/>
  <c r="R82" i="19"/>
  <c r="R85" i="19"/>
  <c r="R88" i="19"/>
  <c r="R97" i="19"/>
  <c r="S60" i="19"/>
  <c r="S68" i="19"/>
  <c r="S71" i="19"/>
  <c r="S79" i="19"/>
  <c r="S87" i="19"/>
  <c r="S90" i="19"/>
  <c r="S95" i="19"/>
  <c r="S63" i="19"/>
  <c r="S66" i="19"/>
  <c r="S69" i="19"/>
  <c r="S82" i="19"/>
  <c r="S85" i="19"/>
  <c r="S88" i="19"/>
  <c r="S97" i="19"/>
  <c r="T60" i="19"/>
  <c r="T68" i="19"/>
  <c r="T71" i="19"/>
  <c r="T79" i="19"/>
  <c r="T87" i="19"/>
  <c r="T90" i="19"/>
  <c r="T95" i="19"/>
  <c r="T63" i="19"/>
  <c r="T66" i="19"/>
  <c r="T69" i="19"/>
  <c r="T82" i="19"/>
  <c r="T85" i="19"/>
  <c r="T88" i="19"/>
  <c r="T97" i="19"/>
  <c r="U60" i="19"/>
  <c r="U68" i="19"/>
  <c r="U71" i="19"/>
  <c r="U79" i="19"/>
  <c r="U87" i="19"/>
  <c r="U90" i="19"/>
  <c r="U95" i="19"/>
  <c r="U63" i="19"/>
  <c r="U66" i="19"/>
  <c r="U69" i="19"/>
  <c r="U82" i="19"/>
  <c r="U85" i="19"/>
  <c r="U88" i="19"/>
  <c r="U97" i="19"/>
  <c r="V60" i="19"/>
  <c r="V68" i="19"/>
  <c r="V71" i="19"/>
  <c r="V79" i="19"/>
  <c r="V87" i="19"/>
  <c r="V90" i="19"/>
  <c r="V95" i="19"/>
  <c r="V63" i="19"/>
  <c r="V66" i="19"/>
  <c r="V69" i="19"/>
  <c r="V82" i="19"/>
  <c r="V85" i="19"/>
  <c r="V88" i="19"/>
  <c r="V97" i="19"/>
  <c r="W60" i="19"/>
  <c r="W68" i="19"/>
  <c r="W71" i="19"/>
  <c r="W79" i="19"/>
  <c r="W87" i="19"/>
  <c r="W90" i="19"/>
  <c r="W95" i="19"/>
  <c r="W63" i="19"/>
  <c r="W66" i="19"/>
  <c r="W69" i="19"/>
  <c r="W82" i="19"/>
  <c r="W85" i="19"/>
  <c r="W88" i="19"/>
  <c r="W97" i="19"/>
  <c r="X60" i="19"/>
  <c r="X68" i="19"/>
  <c r="X71" i="19"/>
  <c r="X79" i="19"/>
  <c r="X87" i="19"/>
  <c r="X90" i="19"/>
  <c r="X95" i="19"/>
  <c r="X63" i="19"/>
  <c r="X66" i="19"/>
  <c r="X69" i="19"/>
  <c r="X82" i="19"/>
  <c r="X85" i="19"/>
  <c r="X88" i="19"/>
  <c r="X97" i="19"/>
  <c r="Y60" i="19"/>
  <c r="Y68" i="19"/>
  <c r="Y71" i="19"/>
  <c r="Y79" i="19"/>
  <c r="Y87" i="19"/>
  <c r="Y90" i="19"/>
  <c r="Y95" i="19"/>
  <c r="Y63" i="19"/>
  <c r="Y66" i="19"/>
  <c r="Y69" i="19"/>
  <c r="Y82" i="19"/>
  <c r="Y85" i="19"/>
  <c r="Y88" i="19"/>
  <c r="Y97" i="19"/>
  <c r="DB60" i="19"/>
  <c r="DB68" i="19"/>
  <c r="DB71" i="19"/>
  <c r="DB79" i="19"/>
  <c r="DB87" i="19"/>
  <c r="DB90" i="19"/>
  <c r="DB95" i="19"/>
  <c r="DB63" i="19"/>
  <c r="DB66" i="19"/>
  <c r="DB69" i="19"/>
  <c r="DB82" i="19"/>
  <c r="DB85" i="19"/>
  <c r="DB88" i="19"/>
  <c r="DB97" i="19"/>
  <c r="DC60" i="19"/>
  <c r="DC68" i="19"/>
  <c r="DC71" i="19"/>
  <c r="DC79" i="19"/>
  <c r="DC87" i="19"/>
  <c r="DC90" i="19"/>
  <c r="DC95" i="19"/>
  <c r="DC63" i="19"/>
  <c r="DC66" i="19"/>
  <c r="DC69" i="19"/>
  <c r="DC82" i="19"/>
  <c r="DC85" i="19"/>
  <c r="DC88" i="19"/>
  <c r="DC97" i="19"/>
  <c r="DC98" i="19"/>
  <c r="DB98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69" i="19"/>
  <c r="G98" i="19"/>
  <c r="G97" i="19"/>
  <c r="DC96" i="19"/>
  <c r="DB96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71" i="19"/>
  <c r="G96" i="19"/>
  <c r="G95" i="19"/>
  <c r="DC18" i="19"/>
  <c r="DC20" i="19"/>
  <c r="DC45" i="19"/>
  <c r="DC91" i="19"/>
  <c r="DB18" i="19"/>
  <c r="DB20" i="19"/>
  <c r="DB45" i="19"/>
  <c r="DB91" i="19"/>
  <c r="Y18" i="19"/>
  <c r="Y20" i="19"/>
  <c r="Y45" i="19"/>
  <c r="Y91" i="19"/>
  <c r="X18" i="19"/>
  <c r="X20" i="19"/>
  <c r="X45" i="19"/>
  <c r="X91" i="19"/>
  <c r="W18" i="19"/>
  <c r="W20" i="19"/>
  <c r="W45" i="19"/>
  <c r="W91" i="19"/>
  <c r="V18" i="19"/>
  <c r="V20" i="19"/>
  <c r="V45" i="19"/>
  <c r="V91" i="19"/>
  <c r="U18" i="19"/>
  <c r="U20" i="19"/>
  <c r="U45" i="19"/>
  <c r="U91" i="19"/>
  <c r="T18" i="19"/>
  <c r="T20" i="19"/>
  <c r="T45" i="19"/>
  <c r="T91" i="19"/>
  <c r="S18" i="19"/>
  <c r="S20" i="19"/>
  <c r="S45" i="19"/>
  <c r="S91" i="19"/>
  <c r="R18" i="19"/>
  <c r="R20" i="19"/>
  <c r="R45" i="19"/>
  <c r="R91" i="19"/>
  <c r="Q18" i="19"/>
  <c r="Q20" i="19"/>
  <c r="Q45" i="19"/>
  <c r="Q91" i="19"/>
  <c r="P18" i="19"/>
  <c r="P20" i="19"/>
  <c r="P45" i="19"/>
  <c r="P91" i="19"/>
  <c r="O18" i="19"/>
  <c r="O20" i="19"/>
  <c r="O45" i="19"/>
  <c r="O91" i="19"/>
  <c r="N18" i="19"/>
  <c r="N20" i="19"/>
  <c r="N45" i="19"/>
  <c r="N91" i="19"/>
  <c r="M18" i="19"/>
  <c r="M20" i="19"/>
  <c r="M45" i="19"/>
  <c r="M91" i="19"/>
  <c r="L18" i="19"/>
  <c r="L20" i="19"/>
  <c r="L45" i="19"/>
  <c r="L91" i="19"/>
  <c r="K18" i="19"/>
  <c r="K20" i="19"/>
  <c r="K45" i="19"/>
  <c r="K91" i="19"/>
  <c r="J18" i="19"/>
  <c r="J20" i="19"/>
  <c r="J45" i="19"/>
  <c r="J91" i="19"/>
  <c r="I18" i="19"/>
  <c r="I20" i="19"/>
  <c r="I45" i="19"/>
  <c r="I91" i="19"/>
  <c r="H18" i="19"/>
  <c r="H20" i="19"/>
  <c r="H45" i="19"/>
  <c r="H91" i="19"/>
  <c r="H38" i="19"/>
  <c r="H40" i="19"/>
  <c r="I38" i="19"/>
  <c r="I40" i="19"/>
  <c r="J38" i="19"/>
  <c r="J40" i="19"/>
  <c r="K38" i="19"/>
  <c r="K40" i="19"/>
  <c r="L38" i="19"/>
  <c r="L40" i="19"/>
  <c r="M38" i="19"/>
  <c r="M40" i="19"/>
  <c r="N38" i="19"/>
  <c r="N40" i="19"/>
  <c r="O38" i="19"/>
  <c r="O40" i="19"/>
  <c r="P38" i="19"/>
  <c r="P40" i="19"/>
  <c r="Q38" i="19"/>
  <c r="Q40" i="19"/>
  <c r="R38" i="19"/>
  <c r="R40" i="19"/>
  <c r="S38" i="19"/>
  <c r="S40" i="19"/>
  <c r="T38" i="19"/>
  <c r="T40" i="19"/>
  <c r="U38" i="19"/>
  <c r="U40" i="19"/>
  <c r="V38" i="19"/>
  <c r="V40" i="19"/>
  <c r="W38" i="19"/>
  <c r="W40" i="19"/>
  <c r="X38" i="19"/>
  <c r="X40" i="19"/>
  <c r="Y38" i="19"/>
  <c r="Y40" i="19"/>
  <c r="Z38" i="19"/>
  <c r="Z40" i="19"/>
  <c r="AA38" i="19"/>
  <c r="AA40" i="19"/>
  <c r="AB38" i="19"/>
  <c r="AB40" i="19"/>
  <c r="AC38" i="19"/>
  <c r="AC40" i="19"/>
  <c r="AD38" i="19"/>
  <c r="AD40" i="19"/>
  <c r="AE38" i="19"/>
  <c r="AE40" i="19"/>
  <c r="AF38" i="19"/>
  <c r="AF40" i="19"/>
  <c r="AG38" i="19"/>
  <c r="AG40" i="19"/>
  <c r="AH38" i="19"/>
  <c r="AH40" i="19"/>
  <c r="AI38" i="19"/>
  <c r="AI40" i="19"/>
  <c r="AJ38" i="19"/>
  <c r="AJ40" i="19"/>
  <c r="AK38" i="19"/>
  <c r="AK40" i="19"/>
  <c r="AL38" i="19"/>
  <c r="AL40" i="19"/>
  <c r="AM38" i="19"/>
  <c r="AM40" i="19"/>
  <c r="AN38" i="19"/>
  <c r="AN40" i="19"/>
  <c r="AO38" i="19"/>
  <c r="AO40" i="19"/>
  <c r="AP38" i="19"/>
  <c r="AP40" i="19"/>
  <c r="AQ38" i="19"/>
  <c r="AQ40" i="19"/>
  <c r="AR38" i="19"/>
  <c r="AR40" i="19"/>
  <c r="AS38" i="19"/>
  <c r="AS40" i="19"/>
  <c r="AT38" i="19"/>
  <c r="AT40" i="19"/>
  <c r="AU38" i="19"/>
  <c r="AU40" i="19"/>
  <c r="AV38" i="19"/>
  <c r="AV40" i="19"/>
  <c r="AW38" i="19"/>
  <c r="AW40" i="19"/>
  <c r="AX38" i="19"/>
  <c r="AX40" i="19"/>
  <c r="AY38" i="19"/>
  <c r="AY40" i="19"/>
  <c r="AZ38" i="19"/>
  <c r="AZ40" i="19"/>
  <c r="BA38" i="19"/>
  <c r="BA40" i="19"/>
  <c r="BB38" i="19"/>
  <c r="BB40" i="19"/>
  <c r="BC38" i="19"/>
  <c r="BC40" i="19"/>
  <c r="BD38" i="19"/>
  <c r="BD40" i="19"/>
  <c r="BE38" i="19"/>
  <c r="BE40" i="19"/>
  <c r="BF38" i="19"/>
  <c r="BF40" i="19"/>
  <c r="BG38" i="19"/>
  <c r="BG40" i="19"/>
  <c r="BH38" i="19"/>
  <c r="BH40" i="19"/>
  <c r="BI38" i="19"/>
  <c r="BI40" i="19"/>
  <c r="BJ38" i="19"/>
  <c r="BJ40" i="19"/>
  <c r="BK38" i="19"/>
  <c r="BK40" i="19"/>
  <c r="BL38" i="19"/>
  <c r="BL40" i="19"/>
  <c r="BM38" i="19"/>
  <c r="BM40" i="19"/>
  <c r="BN38" i="19"/>
  <c r="BN40" i="19"/>
  <c r="BO38" i="19"/>
  <c r="BO40" i="19"/>
  <c r="BP38" i="19"/>
  <c r="BP40" i="19"/>
  <c r="BQ38" i="19"/>
  <c r="BQ40" i="19"/>
  <c r="BR38" i="19"/>
  <c r="BR40" i="19"/>
  <c r="BS38" i="19"/>
  <c r="BS40" i="19"/>
  <c r="BT38" i="19"/>
  <c r="BT40" i="19"/>
  <c r="BU38" i="19"/>
  <c r="BU40" i="19"/>
  <c r="BV38" i="19"/>
  <c r="BV40" i="19"/>
  <c r="BW38" i="19"/>
  <c r="BW40" i="19"/>
  <c r="BX38" i="19"/>
  <c r="BX40" i="19"/>
  <c r="BY38" i="19"/>
  <c r="BY40" i="19"/>
  <c r="BZ38" i="19"/>
  <c r="BZ40" i="19"/>
  <c r="CA38" i="19"/>
  <c r="CA40" i="19"/>
  <c r="CB38" i="19"/>
  <c r="CB40" i="19"/>
  <c r="CC38" i="19"/>
  <c r="CC40" i="19"/>
  <c r="CD38" i="19"/>
  <c r="CD40" i="19"/>
  <c r="CE38" i="19"/>
  <c r="CE40" i="19"/>
  <c r="CF38" i="19"/>
  <c r="CF40" i="19"/>
  <c r="CG38" i="19"/>
  <c r="CG40" i="19"/>
  <c r="CH38" i="19"/>
  <c r="CH40" i="19"/>
  <c r="CI38" i="19"/>
  <c r="CI40" i="19"/>
  <c r="CJ38" i="19"/>
  <c r="CJ40" i="19"/>
  <c r="CK38" i="19"/>
  <c r="CK40" i="19"/>
  <c r="CL38" i="19"/>
  <c r="CL40" i="19"/>
  <c r="CM38" i="19"/>
  <c r="CM40" i="19"/>
  <c r="CN38" i="19"/>
  <c r="CN40" i="19"/>
  <c r="CO38" i="19"/>
  <c r="CO40" i="19"/>
  <c r="CP38" i="19"/>
  <c r="CP40" i="19"/>
  <c r="CQ38" i="19"/>
  <c r="CQ40" i="19"/>
  <c r="CR38" i="19"/>
  <c r="CR40" i="19"/>
  <c r="CS38" i="19"/>
  <c r="CS40" i="19"/>
  <c r="CT38" i="19"/>
  <c r="CT40" i="19"/>
  <c r="CU38" i="19"/>
  <c r="CU40" i="19"/>
  <c r="CV38" i="19"/>
  <c r="CV40" i="19"/>
  <c r="CW38" i="19"/>
  <c r="CW40" i="19"/>
  <c r="CX38" i="19"/>
  <c r="CX40" i="19"/>
  <c r="CY38" i="19"/>
  <c r="CY40" i="19"/>
  <c r="CZ38" i="19"/>
  <c r="CZ40" i="19"/>
  <c r="DA38" i="19"/>
  <c r="DA40" i="19"/>
  <c r="DB38" i="19"/>
  <c r="DB40" i="19"/>
  <c r="DC38" i="19"/>
  <c r="DC40" i="19"/>
  <c r="G40" i="19"/>
  <c r="G90" i="19"/>
  <c r="G91" i="19"/>
  <c r="DC44" i="19"/>
  <c r="DC89" i="19"/>
  <c r="DB44" i="19"/>
  <c r="DB89" i="19"/>
  <c r="Y44" i="19"/>
  <c r="Y89" i="19"/>
  <c r="X44" i="19"/>
  <c r="X89" i="19"/>
  <c r="W44" i="19"/>
  <c r="W89" i="19"/>
  <c r="V44" i="19"/>
  <c r="V89" i="19"/>
  <c r="U44" i="19"/>
  <c r="U89" i="19"/>
  <c r="T44" i="19"/>
  <c r="T89" i="19"/>
  <c r="S44" i="19"/>
  <c r="S89" i="19"/>
  <c r="R44" i="19"/>
  <c r="R89" i="19"/>
  <c r="Q44" i="19"/>
  <c r="Q89" i="19"/>
  <c r="P44" i="19"/>
  <c r="P89" i="19"/>
  <c r="O44" i="19"/>
  <c r="O89" i="19"/>
  <c r="N44" i="19"/>
  <c r="N89" i="19"/>
  <c r="M44" i="19"/>
  <c r="M89" i="19"/>
  <c r="L44" i="19"/>
  <c r="L89" i="19"/>
  <c r="K44" i="19"/>
  <c r="K89" i="19"/>
  <c r="J44" i="19"/>
  <c r="J89" i="19"/>
  <c r="I44" i="19"/>
  <c r="I89" i="19"/>
  <c r="H44" i="19"/>
  <c r="H89" i="19"/>
  <c r="G39" i="19"/>
  <c r="G88" i="19"/>
  <c r="G89" i="19"/>
  <c r="G87" i="19"/>
  <c r="G86" i="19"/>
  <c r="G85" i="19"/>
  <c r="G84" i="19"/>
  <c r="G83" i="19"/>
  <c r="G82" i="19"/>
  <c r="G79" i="19"/>
  <c r="G78" i="19"/>
  <c r="G77" i="19"/>
  <c r="DC72" i="19"/>
  <c r="DB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Z18" i="19"/>
  <c r="Z20" i="19"/>
  <c r="AA18" i="19"/>
  <c r="AA20" i="19"/>
  <c r="AB18" i="19"/>
  <c r="AB20" i="19"/>
  <c r="AC18" i="19"/>
  <c r="AC20" i="19"/>
  <c r="AD18" i="19"/>
  <c r="AD20" i="19"/>
  <c r="AE18" i="19"/>
  <c r="AE20" i="19"/>
  <c r="AF18" i="19"/>
  <c r="AF20" i="19"/>
  <c r="AG18" i="19"/>
  <c r="AG20" i="19"/>
  <c r="AH18" i="19"/>
  <c r="AH20" i="19"/>
  <c r="AI18" i="19"/>
  <c r="AI20" i="19"/>
  <c r="AJ18" i="19"/>
  <c r="AJ20" i="19"/>
  <c r="AK18" i="19"/>
  <c r="AK20" i="19"/>
  <c r="AL18" i="19"/>
  <c r="AL20" i="19"/>
  <c r="AM18" i="19"/>
  <c r="AM20" i="19"/>
  <c r="AN18" i="19"/>
  <c r="AN20" i="19"/>
  <c r="AO18" i="19"/>
  <c r="AO20" i="19"/>
  <c r="AP18" i="19"/>
  <c r="AP20" i="19"/>
  <c r="AQ18" i="19"/>
  <c r="AQ20" i="19"/>
  <c r="AR18" i="19"/>
  <c r="AR20" i="19"/>
  <c r="AS18" i="19"/>
  <c r="AS20" i="19"/>
  <c r="AT18" i="19"/>
  <c r="AT20" i="19"/>
  <c r="AU18" i="19"/>
  <c r="AU20" i="19"/>
  <c r="AV18" i="19"/>
  <c r="AV20" i="19"/>
  <c r="AW18" i="19"/>
  <c r="AW20" i="19"/>
  <c r="AX18" i="19"/>
  <c r="AX20" i="19"/>
  <c r="AY18" i="19"/>
  <c r="AY20" i="19"/>
  <c r="AZ18" i="19"/>
  <c r="AZ20" i="19"/>
  <c r="BA18" i="19"/>
  <c r="BA20" i="19"/>
  <c r="BB18" i="19"/>
  <c r="BB20" i="19"/>
  <c r="BC18" i="19"/>
  <c r="BC20" i="19"/>
  <c r="BD18" i="19"/>
  <c r="BD20" i="19"/>
  <c r="BE18" i="19"/>
  <c r="BE20" i="19"/>
  <c r="BF18" i="19"/>
  <c r="BF20" i="19"/>
  <c r="BG18" i="19"/>
  <c r="BG20" i="19"/>
  <c r="BH18" i="19"/>
  <c r="BH20" i="19"/>
  <c r="BI18" i="19"/>
  <c r="BI20" i="19"/>
  <c r="BJ18" i="19"/>
  <c r="BJ20" i="19"/>
  <c r="BK18" i="19"/>
  <c r="BK20" i="19"/>
  <c r="BL18" i="19"/>
  <c r="BL20" i="19"/>
  <c r="BM18" i="19"/>
  <c r="BM20" i="19"/>
  <c r="BN18" i="19"/>
  <c r="BN20" i="19"/>
  <c r="BO18" i="19"/>
  <c r="BO20" i="19"/>
  <c r="BP18" i="19"/>
  <c r="BP20" i="19"/>
  <c r="BQ18" i="19"/>
  <c r="BQ20" i="19"/>
  <c r="BR18" i="19"/>
  <c r="BR20" i="19"/>
  <c r="BS18" i="19"/>
  <c r="BS20" i="19"/>
  <c r="BT18" i="19"/>
  <c r="BT20" i="19"/>
  <c r="BU18" i="19"/>
  <c r="BU20" i="19"/>
  <c r="BV18" i="19"/>
  <c r="BV20" i="19"/>
  <c r="BW18" i="19"/>
  <c r="BW20" i="19"/>
  <c r="BX18" i="19"/>
  <c r="BX20" i="19"/>
  <c r="BY18" i="19"/>
  <c r="BY20" i="19"/>
  <c r="BZ18" i="19"/>
  <c r="BZ20" i="19"/>
  <c r="CA18" i="19"/>
  <c r="CA20" i="19"/>
  <c r="CB18" i="19"/>
  <c r="CB20" i="19"/>
  <c r="CC18" i="19"/>
  <c r="CC20" i="19"/>
  <c r="CD18" i="19"/>
  <c r="CD20" i="19"/>
  <c r="CE18" i="19"/>
  <c r="CE20" i="19"/>
  <c r="CF18" i="19"/>
  <c r="CF20" i="19"/>
  <c r="CG18" i="19"/>
  <c r="CG20" i="19"/>
  <c r="CH18" i="19"/>
  <c r="CH20" i="19"/>
  <c r="CI18" i="19"/>
  <c r="CI20" i="19"/>
  <c r="CJ18" i="19"/>
  <c r="CJ20" i="19"/>
  <c r="CK18" i="19"/>
  <c r="CK20" i="19"/>
  <c r="CL18" i="19"/>
  <c r="CL20" i="19"/>
  <c r="CM18" i="19"/>
  <c r="CM20" i="19"/>
  <c r="CN18" i="19"/>
  <c r="CN20" i="19"/>
  <c r="CO18" i="19"/>
  <c r="CO20" i="19"/>
  <c r="CP18" i="19"/>
  <c r="CP20" i="19"/>
  <c r="CQ18" i="19"/>
  <c r="CQ20" i="19"/>
  <c r="CR18" i="19"/>
  <c r="CR20" i="19"/>
  <c r="CS18" i="19"/>
  <c r="CS20" i="19"/>
  <c r="CT18" i="19"/>
  <c r="CT20" i="19"/>
  <c r="CU18" i="19"/>
  <c r="CU20" i="19"/>
  <c r="CV18" i="19"/>
  <c r="CV20" i="19"/>
  <c r="CW18" i="19"/>
  <c r="CW20" i="19"/>
  <c r="CX18" i="19"/>
  <c r="CX20" i="19"/>
  <c r="CY18" i="19"/>
  <c r="CY20" i="19"/>
  <c r="CZ18" i="19"/>
  <c r="CZ20" i="19"/>
  <c r="DA18" i="19"/>
  <c r="DA20" i="19"/>
  <c r="G20" i="19"/>
  <c r="G72" i="19"/>
  <c r="DC70" i="19"/>
  <c r="DB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19" i="19"/>
  <c r="G70" i="19"/>
  <c r="G68" i="19"/>
  <c r="G67" i="19"/>
  <c r="G66" i="19"/>
  <c r="G65" i="19"/>
  <c r="G64" i="19"/>
  <c r="G63" i="19"/>
  <c r="G60" i="19"/>
  <c r="G59" i="19"/>
  <c r="G58" i="19"/>
  <c r="H17" i="6"/>
  <c r="I35" i="6"/>
  <c r="I17" i="6"/>
  <c r="J36" i="6"/>
  <c r="J38" i="6"/>
  <c r="J18" i="6"/>
  <c r="J20" i="6"/>
  <c r="J42" i="6"/>
  <c r="K36" i="6"/>
  <c r="K38" i="6"/>
  <c r="K18" i="6"/>
  <c r="K20" i="6"/>
  <c r="K42" i="6"/>
  <c r="L36" i="6"/>
  <c r="L38" i="6"/>
  <c r="L18" i="6"/>
  <c r="L20" i="6"/>
  <c r="L42" i="6"/>
  <c r="M36" i="6"/>
  <c r="M38" i="6"/>
  <c r="M18" i="6"/>
  <c r="M20" i="6"/>
  <c r="M42" i="6"/>
  <c r="N36" i="6"/>
  <c r="N38" i="6"/>
  <c r="N18" i="6"/>
  <c r="N20" i="6"/>
  <c r="N42" i="6"/>
  <c r="O36" i="6"/>
  <c r="O38" i="6"/>
  <c r="O18" i="6"/>
  <c r="O20" i="6"/>
  <c r="O42" i="6"/>
  <c r="P36" i="6"/>
  <c r="P38" i="6"/>
  <c r="P18" i="6"/>
  <c r="P20" i="6"/>
  <c r="P42" i="6"/>
  <c r="Q36" i="6"/>
  <c r="Q38" i="6"/>
  <c r="Q18" i="6"/>
  <c r="Q20" i="6"/>
  <c r="Q42" i="6"/>
  <c r="R36" i="6"/>
  <c r="R38" i="6"/>
  <c r="R18" i="6"/>
  <c r="R20" i="6"/>
  <c r="R42" i="6"/>
  <c r="S36" i="6"/>
  <c r="S38" i="6"/>
  <c r="S18" i="6"/>
  <c r="S20" i="6"/>
  <c r="S42" i="6"/>
  <c r="T36" i="6"/>
  <c r="T38" i="6"/>
  <c r="T18" i="6"/>
  <c r="T20" i="6"/>
  <c r="T42" i="6"/>
  <c r="U36" i="6"/>
  <c r="U38" i="6"/>
  <c r="U18" i="6"/>
  <c r="U20" i="6"/>
  <c r="U42" i="6"/>
  <c r="V36" i="6"/>
  <c r="V38" i="6"/>
  <c r="V18" i="6"/>
  <c r="V20" i="6"/>
  <c r="V42" i="6"/>
  <c r="W36" i="6"/>
  <c r="W38" i="6"/>
  <c r="W18" i="6"/>
  <c r="W20" i="6"/>
  <c r="W42" i="6"/>
  <c r="X36" i="6"/>
  <c r="X38" i="6"/>
  <c r="X18" i="6"/>
  <c r="X20" i="6"/>
  <c r="X42" i="6"/>
  <c r="Y36" i="6"/>
  <c r="Y38" i="6"/>
  <c r="Y18" i="6"/>
  <c r="Y20" i="6"/>
  <c r="Y42" i="6"/>
  <c r="Z36" i="6"/>
  <c r="Z38" i="6"/>
  <c r="Z18" i="6"/>
  <c r="Z20" i="6"/>
  <c r="Z42" i="6"/>
  <c r="AA36" i="6"/>
  <c r="AA38" i="6"/>
  <c r="AA18" i="6"/>
  <c r="AA20" i="6"/>
  <c r="AA42" i="6"/>
  <c r="AB36" i="6"/>
  <c r="AB38" i="6"/>
  <c r="AB18" i="6"/>
  <c r="AB20" i="6"/>
  <c r="AB42" i="6"/>
  <c r="AC36" i="6"/>
  <c r="AC38" i="6"/>
  <c r="AC18" i="6"/>
  <c r="AC20" i="6"/>
  <c r="AC42" i="6"/>
  <c r="AD36" i="6"/>
  <c r="AD38" i="6"/>
  <c r="AD18" i="6"/>
  <c r="AD20" i="6"/>
  <c r="AD42" i="6"/>
  <c r="AE36" i="6"/>
  <c r="AE38" i="6"/>
  <c r="AE18" i="6"/>
  <c r="AE20" i="6"/>
  <c r="AE42" i="6"/>
  <c r="AF36" i="6"/>
  <c r="AF38" i="6"/>
  <c r="AF18" i="6"/>
  <c r="AF20" i="6"/>
  <c r="AF42" i="6"/>
  <c r="AG36" i="6"/>
  <c r="AG38" i="6"/>
  <c r="AG18" i="6"/>
  <c r="AG20" i="6"/>
  <c r="AG42" i="6"/>
  <c r="AH36" i="6"/>
  <c r="AH38" i="6"/>
  <c r="AH18" i="6"/>
  <c r="AH20" i="6"/>
  <c r="AH42" i="6"/>
  <c r="AI36" i="6"/>
  <c r="AI38" i="6"/>
  <c r="AI18" i="6"/>
  <c r="AI20" i="6"/>
  <c r="AI42" i="6"/>
  <c r="AJ36" i="6"/>
  <c r="AJ38" i="6"/>
  <c r="AJ18" i="6"/>
  <c r="AJ20" i="6"/>
  <c r="AJ42" i="6"/>
  <c r="AK36" i="6"/>
  <c r="AK38" i="6"/>
  <c r="AK18" i="6"/>
  <c r="AK20" i="6"/>
  <c r="AK42" i="6"/>
  <c r="AL36" i="6"/>
  <c r="AL38" i="6"/>
  <c r="AL18" i="6"/>
  <c r="AL20" i="6"/>
  <c r="AL42" i="6"/>
  <c r="AM36" i="6"/>
  <c r="AM38" i="6"/>
  <c r="AM18" i="6"/>
  <c r="AM20" i="6"/>
  <c r="AM42" i="6"/>
  <c r="AN36" i="6"/>
  <c r="AN38" i="6"/>
  <c r="AN18" i="6"/>
  <c r="AN20" i="6"/>
  <c r="AN42" i="6"/>
  <c r="AO36" i="6"/>
  <c r="AO38" i="6"/>
  <c r="AO18" i="6"/>
  <c r="AO20" i="6"/>
  <c r="AO42" i="6"/>
  <c r="AP36" i="6"/>
  <c r="AP38" i="6"/>
  <c r="AP18" i="6"/>
  <c r="AP20" i="6"/>
  <c r="AP42" i="6"/>
  <c r="AQ36" i="6"/>
  <c r="AQ38" i="6"/>
  <c r="AQ18" i="6"/>
  <c r="AQ20" i="6"/>
  <c r="AQ42" i="6"/>
  <c r="AR36" i="6"/>
  <c r="AR38" i="6"/>
  <c r="AR18" i="6"/>
  <c r="AR20" i="6"/>
  <c r="AR42" i="6"/>
  <c r="AS36" i="6"/>
  <c r="AS38" i="6"/>
  <c r="AS18" i="6"/>
  <c r="AS20" i="6"/>
  <c r="AS42" i="6"/>
  <c r="AT36" i="6"/>
  <c r="AT38" i="6"/>
  <c r="AT18" i="6"/>
  <c r="AT20" i="6"/>
  <c r="AT42" i="6"/>
  <c r="AU36" i="6"/>
  <c r="AU38" i="6"/>
  <c r="AU18" i="6"/>
  <c r="AU20" i="6"/>
  <c r="AU42" i="6"/>
  <c r="AV36" i="6"/>
  <c r="AV38" i="6"/>
  <c r="AV18" i="6"/>
  <c r="AV20" i="6"/>
  <c r="AV42" i="6"/>
  <c r="AW36" i="6"/>
  <c r="AW38" i="6"/>
  <c r="AW18" i="6"/>
  <c r="AW20" i="6"/>
  <c r="AW42" i="6"/>
  <c r="AX36" i="6"/>
  <c r="AX38" i="6"/>
  <c r="AX18" i="6"/>
  <c r="AX20" i="6"/>
  <c r="AX42" i="6"/>
  <c r="AY36" i="6"/>
  <c r="AY38" i="6"/>
  <c r="AY18" i="6"/>
  <c r="AY20" i="6"/>
  <c r="AY42" i="6"/>
  <c r="AZ36" i="6"/>
  <c r="AZ38" i="6"/>
  <c r="AZ18" i="6"/>
  <c r="AZ20" i="6"/>
  <c r="AZ42" i="6"/>
  <c r="BA36" i="6"/>
  <c r="BA38" i="6"/>
  <c r="BA18" i="6"/>
  <c r="BA20" i="6"/>
  <c r="BA42" i="6"/>
  <c r="BB36" i="6"/>
  <c r="BB38" i="6"/>
  <c r="BB18" i="6"/>
  <c r="BB20" i="6"/>
  <c r="BB42" i="6"/>
  <c r="BC36" i="6"/>
  <c r="BC38" i="6"/>
  <c r="BC18" i="6"/>
  <c r="BC20" i="6"/>
  <c r="BC42" i="6"/>
  <c r="BD36" i="6"/>
  <c r="BD38" i="6"/>
  <c r="BD18" i="6"/>
  <c r="BD20" i="6"/>
  <c r="BD42" i="6"/>
  <c r="BE36" i="6"/>
  <c r="BE38" i="6"/>
  <c r="BE18" i="6"/>
  <c r="BE20" i="6"/>
  <c r="BE42" i="6"/>
  <c r="BF36" i="6"/>
  <c r="BF38" i="6"/>
  <c r="BF18" i="6"/>
  <c r="BF20" i="6"/>
  <c r="BF42" i="6"/>
  <c r="BG36" i="6"/>
  <c r="BG38" i="6"/>
  <c r="BG18" i="6"/>
  <c r="BG20" i="6"/>
  <c r="BG42" i="6"/>
  <c r="BH36" i="6"/>
  <c r="BH38" i="6"/>
  <c r="BH18" i="6"/>
  <c r="BH20" i="6"/>
  <c r="BH42" i="6"/>
  <c r="BI36" i="6"/>
  <c r="BI38" i="6"/>
  <c r="BI18" i="6"/>
  <c r="BI20" i="6"/>
  <c r="BI42" i="6"/>
  <c r="BJ36" i="6"/>
  <c r="BJ38" i="6"/>
  <c r="BJ18" i="6"/>
  <c r="BJ20" i="6"/>
  <c r="BJ42" i="6"/>
  <c r="BK36" i="6"/>
  <c r="BK38" i="6"/>
  <c r="BK18" i="6"/>
  <c r="BK20" i="6"/>
  <c r="BK42" i="6"/>
  <c r="BL36" i="6"/>
  <c r="BL38" i="6"/>
  <c r="BL18" i="6"/>
  <c r="BL20" i="6"/>
  <c r="BL42" i="6"/>
  <c r="BM36" i="6"/>
  <c r="BM38" i="6"/>
  <c r="BM18" i="6"/>
  <c r="BM20" i="6"/>
  <c r="BM42" i="6"/>
  <c r="BN36" i="6"/>
  <c r="BN38" i="6"/>
  <c r="BN18" i="6"/>
  <c r="BN20" i="6"/>
  <c r="BN42" i="6"/>
  <c r="BO36" i="6"/>
  <c r="BO38" i="6"/>
  <c r="BO18" i="6"/>
  <c r="BO20" i="6"/>
  <c r="BO42" i="6"/>
  <c r="BP36" i="6"/>
  <c r="BP38" i="6"/>
  <c r="BP18" i="6"/>
  <c r="BP20" i="6"/>
  <c r="BP42" i="6"/>
  <c r="BQ36" i="6"/>
  <c r="BQ38" i="6"/>
  <c r="BQ18" i="6"/>
  <c r="BQ20" i="6"/>
  <c r="BQ42" i="6"/>
  <c r="BR36" i="6"/>
  <c r="BR38" i="6"/>
  <c r="BR18" i="6"/>
  <c r="BR20" i="6"/>
  <c r="BR42" i="6"/>
  <c r="BS36" i="6"/>
  <c r="BS38" i="6"/>
  <c r="BS18" i="6"/>
  <c r="BS20" i="6"/>
  <c r="BS42" i="6"/>
  <c r="BT36" i="6"/>
  <c r="BT38" i="6"/>
  <c r="BT18" i="6"/>
  <c r="BT20" i="6"/>
  <c r="BT42" i="6"/>
  <c r="BU36" i="6"/>
  <c r="BU38" i="6"/>
  <c r="BU18" i="6"/>
  <c r="BU20" i="6"/>
  <c r="BU42" i="6"/>
  <c r="BV36" i="6"/>
  <c r="BV38" i="6"/>
  <c r="BV18" i="6"/>
  <c r="BV20" i="6"/>
  <c r="BV42" i="6"/>
  <c r="BW36" i="6"/>
  <c r="BW38" i="6"/>
  <c r="BW18" i="6"/>
  <c r="BW20" i="6"/>
  <c r="BW42" i="6"/>
  <c r="BX36" i="6"/>
  <c r="BX38" i="6"/>
  <c r="BX18" i="6"/>
  <c r="BX20" i="6"/>
  <c r="BX42" i="6"/>
  <c r="BY36" i="6"/>
  <c r="BY38" i="6"/>
  <c r="BY18" i="6"/>
  <c r="BY20" i="6"/>
  <c r="BY42" i="6"/>
  <c r="BZ36" i="6"/>
  <c r="BZ38" i="6"/>
  <c r="BZ18" i="6"/>
  <c r="BZ20" i="6"/>
  <c r="BZ42" i="6"/>
  <c r="CA36" i="6"/>
  <c r="CA38" i="6"/>
  <c r="CA18" i="6"/>
  <c r="CA20" i="6"/>
  <c r="CA42" i="6"/>
  <c r="CB36" i="6"/>
  <c r="CB38" i="6"/>
  <c r="CB18" i="6"/>
  <c r="CB20" i="6"/>
  <c r="CB42" i="6"/>
  <c r="CC36" i="6"/>
  <c r="CC38" i="6"/>
  <c r="CC18" i="6"/>
  <c r="CC20" i="6"/>
  <c r="CC42" i="6"/>
  <c r="CD36" i="6"/>
  <c r="CD38" i="6"/>
  <c r="CD18" i="6"/>
  <c r="CD20" i="6"/>
  <c r="CD42" i="6"/>
  <c r="CE36" i="6"/>
  <c r="CE38" i="6"/>
  <c r="CE18" i="6"/>
  <c r="CE20" i="6"/>
  <c r="CE42" i="6"/>
  <c r="CF36" i="6"/>
  <c r="CF38" i="6"/>
  <c r="CF18" i="6"/>
  <c r="CF20" i="6"/>
  <c r="CF42" i="6"/>
  <c r="CG36" i="6"/>
  <c r="CG38" i="6"/>
  <c r="CG18" i="6"/>
  <c r="CG20" i="6"/>
  <c r="CG42" i="6"/>
  <c r="CH36" i="6"/>
  <c r="CH38" i="6"/>
  <c r="CH18" i="6"/>
  <c r="CH20" i="6"/>
  <c r="CH42" i="6"/>
  <c r="CI36" i="6"/>
  <c r="CI38" i="6"/>
  <c r="CI18" i="6"/>
  <c r="CI20" i="6"/>
  <c r="CI42" i="6"/>
  <c r="CJ36" i="6"/>
  <c r="CJ38" i="6"/>
  <c r="CJ18" i="6"/>
  <c r="CJ20" i="6"/>
  <c r="CJ42" i="6"/>
  <c r="CK36" i="6"/>
  <c r="CK38" i="6"/>
  <c r="CK18" i="6"/>
  <c r="CK20" i="6"/>
  <c r="CK42" i="6"/>
  <c r="CL36" i="6"/>
  <c r="CL38" i="6"/>
  <c r="CL18" i="6"/>
  <c r="CL20" i="6"/>
  <c r="CL42" i="6"/>
  <c r="CM36" i="6"/>
  <c r="CM38" i="6"/>
  <c r="CM18" i="6"/>
  <c r="CM20" i="6"/>
  <c r="CM42" i="6"/>
  <c r="CN36" i="6"/>
  <c r="CN38" i="6"/>
  <c r="CN18" i="6"/>
  <c r="CN20" i="6"/>
  <c r="CN42" i="6"/>
  <c r="CO36" i="6"/>
  <c r="CO38" i="6"/>
  <c r="CO18" i="6"/>
  <c r="CO20" i="6"/>
  <c r="CO42" i="6"/>
  <c r="CP36" i="6"/>
  <c r="CP38" i="6"/>
  <c r="CP18" i="6"/>
  <c r="CP20" i="6"/>
  <c r="CP42" i="6"/>
  <c r="CQ36" i="6"/>
  <c r="CQ38" i="6"/>
  <c r="CQ18" i="6"/>
  <c r="CQ20" i="6"/>
  <c r="CQ42" i="6"/>
  <c r="CR36" i="6"/>
  <c r="CR38" i="6"/>
  <c r="CR18" i="6"/>
  <c r="CR20" i="6"/>
  <c r="CR42" i="6"/>
  <c r="CS36" i="6"/>
  <c r="CS38" i="6"/>
  <c r="CS18" i="6"/>
  <c r="CS20" i="6"/>
  <c r="CS42" i="6"/>
  <c r="CT36" i="6"/>
  <c r="CT38" i="6"/>
  <c r="CT18" i="6"/>
  <c r="CT20" i="6"/>
  <c r="CT42" i="6"/>
  <c r="CU36" i="6"/>
  <c r="CU38" i="6"/>
  <c r="CU18" i="6"/>
  <c r="CU20" i="6"/>
  <c r="CU42" i="6"/>
  <c r="CV36" i="6"/>
  <c r="CV38" i="6"/>
  <c r="CV18" i="6"/>
  <c r="CV20" i="6"/>
  <c r="CV42" i="6"/>
  <c r="CW36" i="6"/>
  <c r="CW38" i="6"/>
  <c r="CW18" i="6"/>
  <c r="CW20" i="6"/>
  <c r="CW42" i="6"/>
  <c r="CX36" i="6"/>
  <c r="CX38" i="6"/>
  <c r="CX18" i="6"/>
  <c r="CX20" i="6"/>
  <c r="CX42" i="6"/>
  <c r="CY36" i="6"/>
  <c r="CY38" i="6"/>
  <c r="CY18" i="6"/>
  <c r="CY20" i="6"/>
  <c r="CY42" i="6"/>
  <c r="CZ36" i="6"/>
  <c r="CZ38" i="6"/>
  <c r="CZ18" i="6"/>
  <c r="CZ20" i="6"/>
  <c r="CZ42" i="6"/>
  <c r="DA36" i="6"/>
  <c r="DA38" i="6"/>
  <c r="DA18" i="6"/>
  <c r="DA20" i="6"/>
  <c r="DA42" i="6"/>
  <c r="DB36" i="6"/>
  <c r="DB38" i="6"/>
  <c r="DB18" i="6"/>
  <c r="DB20" i="6"/>
  <c r="DB42" i="6"/>
  <c r="DC36" i="6"/>
  <c r="DC38" i="6"/>
  <c r="DC18" i="6"/>
  <c r="DC20" i="6"/>
  <c r="DC42" i="6"/>
  <c r="H19" i="8"/>
  <c r="H21" i="8"/>
  <c r="H40" i="8"/>
  <c r="H42" i="8"/>
  <c r="H46" i="8"/>
  <c r="I19" i="8"/>
  <c r="I21" i="8"/>
  <c r="I40" i="8"/>
  <c r="I42" i="8"/>
  <c r="I46" i="8"/>
  <c r="J19" i="8"/>
  <c r="J21" i="8"/>
  <c r="J40" i="8"/>
  <c r="J42" i="8"/>
  <c r="J46" i="8"/>
  <c r="K19" i="8"/>
  <c r="K21" i="8"/>
  <c r="K40" i="8"/>
  <c r="K42" i="8"/>
  <c r="K46" i="8"/>
  <c r="L19" i="8"/>
  <c r="L21" i="8"/>
  <c r="L40" i="8"/>
  <c r="L42" i="8"/>
  <c r="L46" i="8"/>
  <c r="M19" i="8"/>
  <c r="M21" i="8"/>
  <c r="M40" i="8"/>
  <c r="M42" i="8"/>
  <c r="M46" i="8"/>
  <c r="N19" i="8"/>
  <c r="N21" i="8"/>
  <c r="N40" i="8"/>
  <c r="N42" i="8"/>
  <c r="N46" i="8"/>
  <c r="O19" i="8"/>
  <c r="O21" i="8"/>
  <c r="O40" i="8"/>
  <c r="O42" i="8"/>
  <c r="O46" i="8"/>
  <c r="P19" i="8"/>
  <c r="P21" i="8"/>
  <c r="P40" i="8"/>
  <c r="P42" i="8"/>
  <c r="P46" i="8"/>
  <c r="Q19" i="8"/>
  <c r="Q21" i="8"/>
  <c r="Q40" i="8"/>
  <c r="Q42" i="8"/>
  <c r="Q46" i="8"/>
  <c r="R19" i="8"/>
  <c r="R21" i="8"/>
  <c r="R40" i="8"/>
  <c r="R42" i="8"/>
  <c r="R46" i="8"/>
  <c r="S19" i="8"/>
  <c r="S21" i="8"/>
  <c r="S40" i="8"/>
  <c r="S42" i="8"/>
  <c r="S46" i="8"/>
  <c r="T19" i="8"/>
  <c r="T21" i="8"/>
  <c r="T40" i="8"/>
  <c r="T42" i="8"/>
  <c r="T46" i="8"/>
  <c r="U19" i="8"/>
  <c r="U21" i="8"/>
  <c r="U40" i="8"/>
  <c r="U42" i="8"/>
  <c r="U46" i="8"/>
  <c r="V19" i="8"/>
  <c r="V21" i="8"/>
  <c r="V40" i="8"/>
  <c r="V42" i="8"/>
  <c r="V46" i="8"/>
  <c r="W19" i="8"/>
  <c r="W21" i="8"/>
  <c r="W40" i="8"/>
  <c r="W42" i="8"/>
  <c r="W46" i="8"/>
  <c r="X19" i="8"/>
  <c r="X21" i="8"/>
  <c r="X40" i="8"/>
  <c r="X42" i="8"/>
  <c r="X46" i="8"/>
  <c r="Y19" i="8"/>
  <c r="Y21" i="8"/>
  <c r="Y40" i="8"/>
  <c r="Y42" i="8"/>
  <c r="Y46" i="8"/>
  <c r="Z19" i="8"/>
  <c r="Z21" i="8"/>
  <c r="Z40" i="8"/>
  <c r="Z42" i="8"/>
  <c r="Z46" i="8"/>
  <c r="AA19" i="8"/>
  <c r="AA21" i="8"/>
  <c r="AA40" i="8"/>
  <c r="AA42" i="8"/>
  <c r="AA46" i="8"/>
  <c r="AB19" i="8"/>
  <c r="AB21" i="8"/>
  <c r="AB40" i="8"/>
  <c r="AB42" i="8"/>
  <c r="AB46" i="8"/>
  <c r="AC19" i="8"/>
  <c r="AC21" i="8"/>
  <c r="AC40" i="8"/>
  <c r="AC42" i="8"/>
  <c r="AC46" i="8"/>
  <c r="AD19" i="8"/>
  <c r="AD21" i="8"/>
  <c r="AD40" i="8"/>
  <c r="AD42" i="8"/>
  <c r="AD46" i="8"/>
  <c r="AE19" i="8"/>
  <c r="AE21" i="8"/>
  <c r="AE40" i="8"/>
  <c r="AE42" i="8"/>
  <c r="AE46" i="8"/>
  <c r="AF19" i="8"/>
  <c r="AF21" i="8"/>
  <c r="AF40" i="8"/>
  <c r="AF42" i="8"/>
  <c r="AF46" i="8"/>
  <c r="AG19" i="8"/>
  <c r="AG21" i="8"/>
  <c r="AG40" i="8"/>
  <c r="AG42" i="8"/>
  <c r="AG46" i="8"/>
  <c r="AH19" i="8"/>
  <c r="AH21" i="8"/>
  <c r="AH40" i="8"/>
  <c r="AH42" i="8"/>
  <c r="AH46" i="8"/>
  <c r="AI19" i="8"/>
  <c r="AI21" i="8"/>
  <c r="AI40" i="8"/>
  <c r="AI42" i="8"/>
  <c r="AI46" i="8"/>
  <c r="AJ19" i="8"/>
  <c r="AJ21" i="8"/>
  <c r="AJ40" i="8"/>
  <c r="AJ42" i="8"/>
  <c r="AJ46" i="8"/>
  <c r="AK19" i="8"/>
  <c r="AK21" i="8"/>
  <c r="AK40" i="8"/>
  <c r="AK42" i="8"/>
  <c r="AK46" i="8"/>
  <c r="AL19" i="8"/>
  <c r="AL21" i="8"/>
  <c r="AL40" i="8"/>
  <c r="AL42" i="8"/>
  <c r="AL46" i="8"/>
  <c r="AM19" i="8"/>
  <c r="AM21" i="8"/>
  <c r="AM40" i="8"/>
  <c r="AM42" i="8"/>
  <c r="AM46" i="8"/>
  <c r="AN19" i="8"/>
  <c r="AN21" i="8"/>
  <c r="AN40" i="8"/>
  <c r="AN42" i="8"/>
  <c r="AN46" i="8"/>
  <c r="AO19" i="8"/>
  <c r="AO21" i="8"/>
  <c r="AO40" i="8"/>
  <c r="AO42" i="8"/>
  <c r="AO46" i="8"/>
  <c r="AP19" i="8"/>
  <c r="AP21" i="8"/>
  <c r="AP40" i="8"/>
  <c r="AP42" i="8"/>
  <c r="AP46" i="8"/>
  <c r="AQ19" i="8"/>
  <c r="AQ21" i="8"/>
  <c r="AQ40" i="8"/>
  <c r="AQ42" i="8"/>
  <c r="AQ46" i="8"/>
  <c r="AR19" i="8"/>
  <c r="AR21" i="8"/>
  <c r="AR40" i="8"/>
  <c r="AR42" i="8"/>
  <c r="AR46" i="8"/>
  <c r="AS19" i="8"/>
  <c r="AS21" i="8"/>
  <c r="AS40" i="8"/>
  <c r="AS42" i="8"/>
  <c r="AS46" i="8"/>
  <c r="AT19" i="8"/>
  <c r="AT21" i="8"/>
  <c r="AT40" i="8"/>
  <c r="AT42" i="8"/>
  <c r="AT46" i="8"/>
  <c r="AU19" i="8"/>
  <c r="AU21" i="8"/>
  <c r="AU40" i="8"/>
  <c r="AU42" i="8"/>
  <c r="AU46" i="8"/>
  <c r="AV19" i="8"/>
  <c r="AV21" i="8"/>
  <c r="AV40" i="8"/>
  <c r="AV42" i="8"/>
  <c r="AV46" i="8"/>
  <c r="AW19" i="8"/>
  <c r="AW21" i="8"/>
  <c r="AW40" i="8"/>
  <c r="AW42" i="8"/>
  <c r="AW46" i="8"/>
  <c r="AX19" i="8"/>
  <c r="AX21" i="8"/>
  <c r="AX40" i="8"/>
  <c r="AX42" i="8"/>
  <c r="AX46" i="8"/>
  <c r="AY19" i="8"/>
  <c r="AY21" i="8"/>
  <c r="AY40" i="8"/>
  <c r="AY42" i="8"/>
  <c r="AY46" i="8"/>
  <c r="AZ19" i="8"/>
  <c r="AZ21" i="8"/>
  <c r="AZ40" i="8"/>
  <c r="AZ42" i="8"/>
  <c r="AZ46" i="8"/>
  <c r="BA19" i="8"/>
  <c r="BA21" i="8"/>
  <c r="BA40" i="8"/>
  <c r="BA42" i="8"/>
  <c r="BA46" i="8"/>
  <c r="BB19" i="8"/>
  <c r="BB21" i="8"/>
  <c r="BB40" i="8"/>
  <c r="BB42" i="8"/>
  <c r="BB46" i="8"/>
  <c r="BC19" i="8"/>
  <c r="BC21" i="8"/>
  <c r="BC40" i="8"/>
  <c r="BC42" i="8"/>
  <c r="BC46" i="8"/>
  <c r="BD19" i="8"/>
  <c r="BD21" i="8"/>
  <c r="BD40" i="8"/>
  <c r="BD42" i="8"/>
  <c r="BD46" i="8"/>
  <c r="BE19" i="8"/>
  <c r="BE21" i="8"/>
  <c r="BE40" i="8"/>
  <c r="BE42" i="8"/>
  <c r="BE46" i="8"/>
  <c r="BF19" i="8"/>
  <c r="BF21" i="8"/>
  <c r="BF40" i="8"/>
  <c r="BF42" i="8"/>
  <c r="BF46" i="8"/>
  <c r="BG19" i="8"/>
  <c r="BG21" i="8"/>
  <c r="BG40" i="8"/>
  <c r="BG42" i="8"/>
  <c r="BG46" i="8"/>
  <c r="BH19" i="8"/>
  <c r="BH21" i="8"/>
  <c r="BH40" i="8"/>
  <c r="BH42" i="8"/>
  <c r="BH46" i="8"/>
  <c r="BI19" i="8"/>
  <c r="BI21" i="8"/>
  <c r="BI40" i="8"/>
  <c r="BI42" i="8"/>
  <c r="BI46" i="8"/>
  <c r="BJ19" i="8"/>
  <c r="BJ21" i="8"/>
  <c r="BJ40" i="8"/>
  <c r="BJ42" i="8"/>
  <c r="BJ46" i="8"/>
  <c r="BK19" i="8"/>
  <c r="BK21" i="8"/>
  <c r="BK40" i="8"/>
  <c r="BK42" i="8"/>
  <c r="BK46" i="8"/>
  <c r="BL19" i="8"/>
  <c r="BL21" i="8"/>
  <c r="BL40" i="8"/>
  <c r="BL42" i="8"/>
  <c r="BL46" i="8"/>
  <c r="BM19" i="8"/>
  <c r="BM21" i="8"/>
  <c r="BM40" i="8"/>
  <c r="BM42" i="8"/>
  <c r="BM46" i="8"/>
  <c r="BN19" i="8"/>
  <c r="BN21" i="8"/>
  <c r="BN40" i="8"/>
  <c r="BN42" i="8"/>
  <c r="BN46" i="8"/>
  <c r="BO19" i="8"/>
  <c r="BO21" i="8"/>
  <c r="BO40" i="8"/>
  <c r="BO42" i="8"/>
  <c r="BO46" i="8"/>
  <c r="BP19" i="8"/>
  <c r="BP21" i="8"/>
  <c r="BP40" i="8"/>
  <c r="BP42" i="8"/>
  <c r="BP46" i="8"/>
  <c r="BQ19" i="8"/>
  <c r="BQ21" i="8"/>
  <c r="BQ40" i="8"/>
  <c r="BQ42" i="8"/>
  <c r="BQ46" i="8"/>
  <c r="BR19" i="8"/>
  <c r="BR21" i="8"/>
  <c r="BR40" i="8"/>
  <c r="BR42" i="8"/>
  <c r="BR46" i="8"/>
  <c r="BS19" i="8"/>
  <c r="BS21" i="8"/>
  <c r="BS40" i="8"/>
  <c r="BS42" i="8"/>
  <c r="BS46" i="8"/>
  <c r="BT19" i="8"/>
  <c r="BT21" i="8"/>
  <c r="BT40" i="8"/>
  <c r="BT42" i="8"/>
  <c r="BT46" i="8"/>
  <c r="BU19" i="8"/>
  <c r="BU21" i="8"/>
  <c r="BU40" i="8"/>
  <c r="BU42" i="8"/>
  <c r="BU46" i="8"/>
  <c r="BV19" i="8"/>
  <c r="BV21" i="8"/>
  <c r="BV40" i="8"/>
  <c r="BV42" i="8"/>
  <c r="BV46" i="8"/>
  <c r="BW19" i="8"/>
  <c r="BW21" i="8"/>
  <c r="BW40" i="8"/>
  <c r="BW42" i="8"/>
  <c r="BW46" i="8"/>
  <c r="BX19" i="8"/>
  <c r="BX21" i="8"/>
  <c r="BX40" i="8"/>
  <c r="BX42" i="8"/>
  <c r="BX46" i="8"/>
  <c r="BY19" i="8"/>
  <c r="BY21" i="8"/>
  <c r="BY40" i="8"/>
  <c r="BY42" i="8"/>
  <c r="BY46" i="8"/>
  <c r="BZ19" i="8"/>
  <c r="BZ21" i="8"/>
  <c r="BZ40" i="8"/>
  <c r="BZ42" i="8"/>
  <c r="BZ46" i="8"/>
  <c r="CA19" i="8"/>
  <c r="CA21" i="8"/>
  <c r="CA40" i="8"/>
  <c r="CA42" i="8"/>
  <c r="CA46" i="8"/>
  <c r="CB19" i="8"/>
  <c r="CB21" i="8"/>
  <c r="CB40" i="8"/>
  <c r="CB42" i="8"/>
  <c r="CB46" i="8"/>
  <c r="CC19" i="8"/>
  <c r="CC21" i="8"/>
  <c r="CC40" i="8"/>
  <c r="CC42" i="8"/>
  <c r="CC46" i="8"/>
  <c r="CD19" i="8"/>
  <c r="CD21" i="8"/>
  <c r="CD40" i="8"/>
  <c r="CD42" i="8"/>
  <c r="CD46" i="8"/>
  <c r="CE19" i="8"/>
  <c r="CE21" i="8"/>
  <c r="CE40" i="8"/>
  <c r="CE42" i="8"/>
  <c r="CE46" i="8"/>
  <c r="CF19" i="8"/>
  <c r="CF21" i="8"/>
  <c r="CF40" i="8"/>
  <c r="CF42" i="8"/>
  <c r="CF46" i="8"/>
  <c r="CG19" i="8"/>
  <c r="CG21" i="8"/>
  <c r="CG40" i="8"/>
  <c r="CG42" i="8"/>
  <c r="CG46" i="8"/>
  <c r="CH19" i="8"/>
  <c r="CH21" i="8"/>
  <c r="CH40" i="8"/>
  <c r="CH42" i="8"/>
  <c r="CH46" i="8"/>
  <c r="CI19" i="8"/>
  <c r="CI21" i="8"/>
  <c r="CI40" i="8"/>
  <c r="CI42" i="8"/>
  <c r="CI46" i="8"/>
  <c r="CJ19" i="8"/>
  <c r="CJ21" i="8"/>
  <c r="CJ40" i="8"/>
  <c r="CJ42" i="8"/>
  <c r="CJ46" i="8"/>
  <c r="CK19" i="8"/>
  <c r="CK21" i="8"/>
  <c r="CK40" i="8"/>
  <c r="CK42" i="8"/>
  <c r="CK46" i="8"/>
  <c r="CL19" i="8"/>
  <c r="CL21" i="8"/>
  <c r="CL40" i="8"/>
  <c r="CL42" i="8"/>
  <c r="CL46" i="8"/>
  <c r="CM19" i="8"/>
  <c r="CM21" i="8"/>
  <c r="CM40" i="8"/>
  <c r="CM42" i="8"/>
  <c r="CM46" i="8"/>
  <c r="CN19" i="8"/>
  <c r="CN21" i="8"/>
  <c r="CN40" i="8"/>
  <c r="CN42" i="8"/>
  <c r="CN46" i="8"/>
  <c r="CO19" i="8"/>
  <c r="CO21" i="8"/>
  <c r="CO40" i="8"/>
  <c r="CO42" i="8"/>
  <c r="CO46" i="8"/>
  <c r="CP19" i="8"/>
  <c r="CP21" i="8"/>
  <c r="CP40" i="8"/>
  <c r="CP42" i="8"/>
  <c r="CP46" i="8"/>
  <c r="CQ19" i="8"/>
  <c r="CQ21" i="8"/>
  <c r="CQ40" i="8"/>
  <c r="CQ42" i="8"/>
  <c r="CQ46" i="8"/>
  <c r="CR19" i="8"/>
  <c r="CR21" i="8"/>
  <c r="CR40" i="8"/>
  <c r="CR42" i="8"/>
  <c r="CR46" i="8"/>
  <c r="CS19" i="8"/>
  <c r="CS21" i="8"/>
  <c r="CS40" i="8"/>
  <c r="CS42" i="8"/>
  <c r="CS46" i="8"/>
  <c r="CT19" i="8"/>
  <c r="CT21" i="8"/>
  <c r="CT40" i="8"/>
  <c r="CT42" i="8"/>
  <c r="CT46" i="8"/>
  <c r="CU19" i="8"/>
  <c r="CU21" i="8"/>
  <c r="CU40" i="8"/>
  <c r="CU42" i="8"/>
  <c r="CU46" i="8"/>
  <c r="CV19" i="8"/>
  <c r="CV21" i="8"/>
  <c r="CV40" i="8"/>
  <c r="CV42" i="8"/>
  <c r="CV46" i="8"/>
  <c r="CW19" i="8"/>
  <c r="CW21" i="8"/>
  <c r="CW40" i="8"/>
  <c r="CW42" i="8"/>
  <c r="CW46" i="8"/>
  <c r="CX19" i="8"/>
  <c r="CX21" i="8"/>
  <c r="CX40" i="8"/>
  <c r="CX42" i="8"/>
  <c r="CX46" i="8"/>
  <c r="CY19" i="8"/>
  <c r="CY21" i="8"/>
  <c r="CY40" i="8"/>
  <c r="CY42" i="8"/>
  <c r="CY46" i="8"/>
  <c r="CZ19" i="8"/>
  <c r="CZ21" i="8"/>
  <c r="CZ40" i="8"/>
  <c r="CZ42" i="8"/>
  <c r="CZ46" i="8"/>
  <c r="DA19" i="8"/>
  <c r="DA21" i="8"/>
  <c r="DA40" i="8"/>
  <c r="DA42" i="8"/>
  <c r="DA46" i="8"/>
  <c r="DB19" i="8"/>
  <c r="DB21" i="8"/>
  <c r="DB40" i="8"/>
  <c r="DB42" i="8"/>
  <c r="DB46" i="8"/>
  <c r="DC19" i="8"/>
  <c r="DC21" i="8"/>
  <c r="DC40" i="8"/>
  <c r="DC42" i="8"/>
  <c r="DC46" i="8"/>
  <c r="H20" i="11"/>
  <c r="H22" i="11"/>
  <c r="H41" i="11"/>
  <c r="H43" i="11"/>
  <c r="H47" i="11"/>
  <c r="I20" i="11"/>
  <c r="I22" i="11"/>
  <c r="I41" i="11"/>
  <c r="I43" i="11"/>
  <c r="I47" i="11"/>
  <c r="J20" i="11"/>
  <c r="J22" i="11"/>
  <c r="J41" i="11"/>
  <c r="J43" i="11"/>
  <c r="J47" i="11"/>
  <c r="K20" i="11"/>
  <c r="K22" i="11"/>
  <c r="K41" i="11"/>
  <c r="K43" i="11"/>
  <c r="K47" i="11"/>
  <c r="L20" i="11"/>
  <c r="L22" i="11"/>
  <c r="L41" i="11"/>
  <c r="L43" i="11"/>
  <c r="L47" i="11"/>
  <c r="M20" i="11"/>
  <c r="M22" i="11"/>
  <c r="M41" i="11"/>
  <c r="M43" i="11"/>
  <c r="M47" i="11"/>
  <c r="N20" i="11"/>
  <c r="N22" i="11"/>
  <c r="N41" i="11"/>
  <c r="N43" i="11"/>
  <c r="N47" i="11"/>
  <c r="O20" i="11"/>
  <c r="O22" i="11"/>
  <c r="O41" i="11"/>
  <c r="O43" i="11"/>
  <c r="O47" i="11"/>
  <c r="P20" i="11"/>
  <c r="P22" i="11"/>
  <c r="P41" i="11"/>
  <c r="P43" i="11"/>
  <c r="P47" i="11"/>
  <c r="Q20" i="11"/>
  <c r="Q22" i="11"/>
  <c r="Q41" i="11"/>
  <c r="Q43" i="11"/>
  <c r="Q47" i="11"/>
  <c r="R20" i="11"/>
  <c r="R22" i="11"/>
  <c r="R41" i="11"/>
  <c r="R43" i="11"/>
  <c r="R47" i="11"/>
  <c r="S20" i="11"/>
  <c r="S22" i="11"/>
  <c r="S41" i="11"/>
  <c r="S43" i="11"/>
  <c r="S47" i="11"/>
  <c r="T20" i="11"/>
  <c r="T22" i="11"/>
  <c r="T41" i="11"/>
  <c r="T43" i="11"/>
  <c r="T47" i="11"/>
  <c r="U20" i="11"/>
  <c r="U22" i="11"/>
  <c r="U41" i="11"/>
  <c r="U43" i="11"/>
  <c r="U47" i="11"/>
  <c r="V20" i="11"/>
  <c r="V22" i="11"/>
  <c r="V41" i="11"/>
  <c r="V43" i="11"/>
  <c r="V47" i="11"/>
  <c r="W20" i="11"/>
  <c r="W22" i="11"/>
  <c r="W41" i="11"/>
  <c r="W43" i="11"/>
  <c r="W47" i="11"/>
  <c r="X20" i="11"/>
  <c r="X22" i="11"/>
  <c r="X41" i="11"/>
  <c r="X43" i="11"/>
  <c r="X47" i="11"/>
  <c r="Y20" i="11"/>
  <c r="Y22" i="11"/>
  <c r="Y41" i="11"/>
  <c r="Y43" i="11"/>
  <c r="Y47" i="11"/>
  <c r="Z20" i="11"/>
  <c r="Z22" i="11"/>
  <c r="Z41" i="11"/>
  <c r="Z43" i="11"/>
  <c r="Z47" i="11"/>
  <c r="AA20" i="11"/>
  <c r="AA22" i="11"/>
  <c r="AA41" i="11"/>
  <c r="AA43" i="11"/>
  <c r="AA47" i="11"/>
  <c r="AB20" i="11"/>
  <c r="AB22" i="11"/>
  <c r="AB41" i="11"/>
  <c r="AB43" i="11"/>
  <c r="AB47" i="11"/>
  <c r="AC20" i="11"/>
  <c r="AC22" i="11"/>
  <c r="AC41" i="11"/>
  <c r="AC43" i="11"/>
  <c r="AC47" i="11"/>
  <c r="AD20" i="11"/>
  <c r="AD22" i="11"/>
  <c r="AD41" i="11"/>
  <c r="AD43" i="11"/>
  <c r="AD47" i="11"/>
  <c r="AE20" i="11"/>
  <c r="AE22" i="11"/>
  <c r="AE41" i="11"/>
  <c r="AE43" i="11"/>
  <c r="AE47" i="11"/>
  <c r="AF20" i="11"/>
  <c r="AF22" i="11"/>
  <c r="AF41" i="11"/>
  <c r="AF43" i="11"/>
  <c r="AF47" i="11"/>
  <c r="AG20" i="11"/>
  <c r="AG22" i="11"/>
  <c r="AG41" i="11"/>
  <c r="AG43" i="11"/>
  <c r="AG47" i="11"/>
  <c r="AH20" i="11"/>
  <c r="AH22" i="11"/>
  <c r="AH41" i="11"/>
  <c r="AH43" i="11"/>
  <c r="AH47" i="11"/>
  <c r="AI20" i="11"/>
  <c r="AI22" i="11"/>
  <c r="AI41" i="11"/>
  <c r="AI43" i="11"/>
  <c r="AI47" i="11"/>
  <c r="AJ20" i="11"/>
  <c r="AJ22" i="11"/>
  <c r="AJ41" i="11"/>
  <c r="AJ43" i="11"/>
  <c r="AJ47" i="11"/>
  <c r="AK20" i="11"/>
  <c r="AK22" i="11"/>
  <c r="AK41" i="11"/>
  <c r="AK43" i="11"/>
  <c r="AK47" i="11"/>
  <c r="AL20" i="11"/>
  <c r="AL22" i="11"/>
  <c r="AL41" i="11"/>
  <c r="AL43" i="11"/>
  <c r="AL47" i="11"/>
  <c r="AM20" i="11"/>
  <c r="AM22" i="11"/>
  <c r="AM41" i="11"/>
  <c r="AM43" i="11"/>
  <c r="AM47" i="11"/>
  <c r="AN20" i="11"/>
  <c r="AN22" i="11"/>
  <c r="AN41" i="11"/>
  <c r="AN43" i="11"/>
  <c r="AN47" i="11"/>
  <c r="AO20" i="11"/>
  <c r="AO22" i="11"/>
  <c r="AO41" i="11"/>
  <c r="AO43" i="11"/>
  <c r="AO47" i="11"/>
  <c r="AP20" i="11"/>
  <c r="AP22" i="11"/>
  <c r="AP41" i="11"/>
  <c r="AP43" i="11"/>
  <c r="AP47" i="11"/>
  <c r="AQ20" i="11"/>
  <c r="AQ22" i="11"/>
  <c r="AQ41" i="11"/>
  <c r="AQ43" i="11"/>
  <c r="AQ47" i="11"/>
  <c r="AR20" i="11"/>
  <c r="AR22" i="11"/>
  <c r="AR41" i="11"/>
  <c r="AR43" i="11"/>
  <c r="AR47" i="11"/>
  <c r="AS20" i="11"/>
  <c r="AS22" i="11"/>
  <c r="AS41" i="11"/>
  <c r="AS43" i="11"/>
  <c r="AS47" i="11"/>
  <c r="AT20" i="11"/>
  <c r="AT22" i="11"/>
  <c r="AT41" i="11"/>
  <c r="AT43" i="11"/>
  <c r="AT47" i="11"/>
  <c r="AU20" i="11"/>
  <c r="AU22" i="11"/>
  <c r="AU41" i="11"/>
  <c r="AU43" i="11"/>
  <c r="AU47" i="11"/>
  <c r="AV20" i="11"/>
  <c r="AV22" i="11"/>
  <c r="AV41" i="11"/>
  <c r="AV43" i="11"/>
  <c r="AV47" i="11"/>
  <c r="AW20" i="11"/>
  <c r="AW22" i="11"/>
  <c r="AW41" i="11"/>
  <c r="AW43" i="11"/>
  <c r="AW47" i="11"/>
  <c r="AX20" i="11"/>
  <c r="AX22" i="11"/>
  <c r="AX41" i="11"/>
  <c r="AX43" i="11"/>
  <c r="AX47" i="11"/>
  <c r="AY20" i="11"/>
  <c r="AY22" i="11"/>
  <c r="AY41" i="11"/>
  <c r="AY43" i="11"/>
  <c r="AY47" i="11"/>
  <c r="AZ20" i="11"/>
  <c r="AZ22" i="11"/>
  <c r="AZ41" i="11"/>
  <c r="AZ43" i="11"/>
  <c r="AZ47" i="11"/>
  <c r="BA20" i="11"/>
  <c r="BA22" i="11"/>
  <c r="BA41" i="11"/>
  <c r="BA43" i="11"/>
  <c r="BA47" i="11"/>
  <c r="BB20" i="11"/>
  <c r="BB22" i="11"/>
  <c r="BB41" i="11"/>
  <c r="BB43" i="11"/>
  <c r="BB47" i="11"/>
  <c r="BC20" i="11"/>
  <c r="BC22" i="11"/>
  <c r="BC41" i="11"/>
  <c r="BC43" i="11"/>
  <c r="BC47" i="11"/>
  <c r="BD20" i="11"/>
  <c r="BD22" i="11"/>
  <c r="BD41" i="11"/>
  <c r="BD43" i="11"/>
  <c r="BD47" i="11"/>
  <c r="BE20" i="11"/>
  <c r="BE22" i="11"/>
  <c r="BE41" i="11"/>
  <c r="BE43" i="11"/>
  <c r="BE47" i="11"/>
  <c r="BF20" i="11"/>
  <c r="BF22" i="11"/>
  <c r="BF41" i="11"/>
  <c r="BF43" i="11"/>
  <c r="BF47" i="11"/>
  <c r="BG20" i="11"/>
  <c r="BG22" i="11"/>
  <c r="BG41" i="11"/>
  <c r="BG43" i="11"/>
  <c r="BG47" i="11"/>
  <c r="BH20" i="11"/>
  <c r="BH22" i="11"/>
  <c r="BH41" i="11"/>
  <c r="BH43" i="11"/>
  <c r="BH47" i="11"/>
  <c r="BI20" i="11"/>
  <c r="BI22" i="11"/>
  <c r="BI41" i="11"/>
  <c r="BI43" i="11"/>
  <c r="BI47" i="11"/>
  <c r="BJ20" i="11"/>
  <c r="BJ22" i="11"/>
  <c r="BJ41" i="11"/>
  <c r="BJ43" i="11"/>
  <c r="BJ47" i="11"/>
  <c r="BK20" i="11"/>
  <c r="BK22" i="11"/>
  <c r="BK41" i="11"/>
  <c r="BK43" i="11"/>
  <c r="BK47" i="11"/>
  <c r="BL20" i="11"/>
  <c r="BL22" i="11"/>
  <c r="BL41" i="11"/>
  <c r="BL43" i="11"/>
  <c r="BL47" i="11"/>
  <c r="BM20" i="11"/>
  <c r="BM22" i="11"/>
  <c r="BM41" i="11"/>
  <c r="BM43" i="11"/>
  <c r="BM47" i="11"/>
  <c r="BN20" i="11"/>
  <c r="BN22" i="11"/>
  <c r="BN41" i="11"/>
  <c r="BN43" i="11"/>
  <c r="BN47" i="11"/>
  <c r="BO20" i="11"/>
  <c r="BO22" i="11"/>
  <c r="BO41" i="11"/>
  <c r="BO43" i="11"/>
  <c r="BO47" i="11"/>
  <c r="BP20" i="11"/>
  <c r="BP22" i="11"/>
  <c r="BP41" i="11"/>
  <c r="BP43" i="11"/>
  <c r="BP47" i="11"/>
  <c r="BQ20" i="11"/>
  <c r="BQ22" i="11"/>
  <c r="BQ41" i="11"/>
  <c r="BQ43" i="11"/>
  <c r="BQ47" i="11"/>
  <c r="BR20" i="11"/>
  <c r="BR22" i="11"/>
  <c r="BR41" i="11"/>
  <c r="BR43" i="11"/>
  <c r="BR47" i="11"/>
  <c r="BS20" i="11"/>
  <c r="BS22" i="11"/>
  <c r="BS41" i="11"/>
  <c r="BS43" i="11"/>
  <c r="BS47" i="11"/>
  <c r="BT20" i="11"/>
  <c r="BT22" i="11"/>
  <c r="BT41" i="11"/>
  <c r="BT43" i="11"/>
  <c r="BT47" i="11"/>
  <c r="BU20" i="11"/>
  <c r="BU22" i="11"/>
  <c r="BU41" i="11"/>
  <c r="BU43" i="11"/>
  <c r="BU47" i="11"/>
  <c r="BV20" i="11"/>
  <c r="BV22" i="11"/>
  <c r="BV41" i="11"/>
  <c r="BV43" i="11"/>
  <c r="BV47" i="11"/>
  <c r="BW20" i="11"/>
  <c r="BW22" i="11"/>
  <c r="BW41" i="11"/>
  <c r="BW43" i="11"/>
  <c r="BW47" i="11"/>
  <c r="BX20" i="11"/>
  <c r="BX22" i="11"/>
  <c r="BX41" i="11"/>
  <c r="BX43" i="11"/>
  <c r="BX47" i="11"/>
  <c r="BY20" i="11"/>
  <c r="BY22" i="11"/>
  <c r="BY41" i="11"/>
  <c r="BY43" i="11"/>
  <c r="BY47" i="11"/>
  <c r="BZ20" i="11"/>
  <c r="BZ22" i="11"/>
  <c r="BZ41" i="11"/>
  <c r="BZ43" i="11"/>
  <c r="BZ47" i="11"/>
  <c r="CA20" i="11"/>
  <c r="CA22" i="11"/>
  <c r="CA41" i="11"/>
  <c r="CA43" i="11"/>
  <c r="CA47" i="11"/>
  <c r="CB20" i="11"/>
  <c r="CB22" i="11"/>
  <c r="CB41" i="11"/>
  <c r="CB43" i="11"/>
  <c r="CB47" i="11"/>
  <c r="CC20" i="11"/>
  <c r="CC22" i="11"/>
  <c r="CC41" i="11"/>
  <c r="CC43" i="11"/>
  <c r="CC47" i="11"/>
  <c r="CD20" i="11"/>
  <c r="CD22" i="11"/>
  <c r="CD41" i="11"/>
  <c r="CD43" i="11"/>
  <c r="CD47" i="11"/>
  <c r="CE20" i="11"/>
  <c r="CE22" i="11"/>
  <c r="CE41" i="11"/>
  <c r="CE43" i="11"/>
  <c r="CE47" i="11"/>
  <c r="CF20" i="11"/>
  <c r="CF22" i="11"/>
  <c r="CF41" i="11"/>
  <c r="CF43" i="11"/>
  <c r="CF47" i="11"/>
  <c r="CG20" i="11"/>
  <c r="CG22" i="11"/>
  <c r="CG41" i="11"/>
  <c r="CG43" i="11"/>
  <c r="CG47" i="11"/>
  <c r="CH20" i="11"/>
  <c r="CH22" i="11"/>
  <c r="CH41" i="11"/>
  <c r="CH43" i="11"/>
  <c r="CH47" i="11"/>
  <c r="CI20" i="11"/>
  <c r="CI22" i="11"/>
  <c r="CI41" i="11"/>
  <c r="CI43" i="11"/>
  <c r="CI47" i="11"/>
  <c r="CJ20" i="11"/>
  <c r="CJ22" i="11"/>
  <c r="CJ41" i="11"/>
  <c r="CJ43" i="11"/>
  <c r="CJ47" i="11"/>
  <c r="CK20" i="11"/>
  <c r="CK22" i="11"/>
  <c r="CK41" i="11"/>
  <c r="CK43" i="11"/>
  <c r="CK47" i="11"/>
  <c r="CL20" i="11"/>
  <c r="CL22" i="11"/>
  <c r="CL41" i="11"/>
  <c r="CL43" i="11"/>
  <c r="CL47" i="11"/>
  <c r="CM20" i="11"/>
  <c r="CM22" i="11"/>
  <c r="CM41" i="11"/>
  <c r="CM43" i="11"/>
  <c r="CM47" i="11"/>
  <c r="CN20" i="11"/>
  <c r="CN22" i="11"/>
  <c r="CN41" i="11"/>
  <c r="CN43" i="11"/>
  <c r="CN47" i="11"/>
  <c r="CO20" i="11"/>
  <c r="CO22" i="11"/>
  <c r="CO41" i="11"/>
  <c r="CO43" i="11"/>
  <c r="CO47" i="11"/>
  <c r="CP20" i="11"/>
  <c r="CP22" i="11"/>
  <c r="CP41" i="11"/>
  <c r="CP43" i="11"/>
  <c r="CP47" i="11"/>
  <c r="CQ20" i="11"/>
  <c r="CQ22" i="11"/>
  <c r="CQ41" i="11"/>
  <c r="CQ43" i="11"/>
  <c r="CQ47" i="11"/>
  <c r="CR20" i="11"/>
  <c r="CR22" i="11"/>
  <c r="CR41" i="11"/>
  <c r="CR43" i="11"/>
  <c r="CR47" i="11"/>
  <c r="CS20" i="11"/>
  <c r="CS22" i="11"/>
  <c r="CS41" i="11"/>
  <c r="CS43" i="11"/>
  <c r="CS47" i="11"/>
  <c r="CT20" i="11"/>
  <c r="CT22" i="11"/>
  <c r="CT41" i="11"/>
  <c r="CT43" i="11"/>
  <c r="CT47" i="11"/>
  <c r="CU20" i="11"/>
  <c r="CU22" i="11"/>
  <c r="CU41" i="11"/>
  <c r="CU43" i="11"/>
  <c r="CU47" i="11"/>
  <c r="CV20" i="11"/>
  <c r="CV22" i="11"/>
  <c r="CV41" i="11"/>
  <c r="CV43" i="11"/>
  <c r="CV47" i="11"/>
  <c r="CW20" i="11"/>
  <c r="CW22" i="11"/>
  <c r="CW41" i="11"/>
  <c r="CW43" i="11"/>
  <c r="CW47" i="11"/>
  <c r="CX20" i="11"/>
  <c r="CX22" i="11"/>
  <c r="CX41" i="11"/>
  <c r="CX43" i="11"/>
  <c r="CX47" i="11"/>
  <c r="CY20" i="11"/>
  <c r="CY22" i="11"/>
  <c r="CY41" i="11"/>
  <c r="CY43" i="11"/>
  <c r="CY47" i="11"/>
  <c r="CZ20" i="11"/>
  <c r="CZ22" i="11"/>
  <c r="CZ41" i="11"/>
  <c r="CZ43" i="11"/>
  <c r="CZ47" i="11"/>
  <c r="DA20" i="11"/>
  <c r="DA22" i="11"/>
  <c r="DA41" i="11"/>
  <c r="DA43" i="11"/>
  <c r="DA47" i="11"/>
  <c r="DB20" i="11"/>
  <c r="DB22" i="11"/>
  <c r="DB41" i="11"/>
  <c r="DB43" i="11"/>
  <c r="DB47" i="11"/>
  <c r="DC20" i="11"/>
  <c r="DC22" i="11"/>
  <c r="DC41" i="11"/>
  <c r="DC43" i="11"/>
  <c r="DC47" i="11"/>
  <c r="H17" i="13"/>
  <c r="H19" i="13"/>
  <c r="H36" i="13"/>
  <c r="H38" i="13"/>
  <c r="H42" i="13"/>
  <c r="I17" i="13"/>
  <c r="I19" i="13"/>
  <c r="I36" i="13"/>
  <c r="I38" i="13"/>
  <c r="I42" i="13"/>
  <c r="J17" i="13"/>
  <c r="J19" i="13"/>
  <c r="J36" i="13"/>
  <c r="J38" i="13"/>
  <c r="J42" i="13"/>
  <c r="K17" i="13"/>
  <c r="K19" i="13"/>
  <c r="K36" i="13"/>
  <c r="K38" i="13"/>
  <c r="K42" i="13"/>
  <c r="L17" i="13"/>
  <c r="L19" i="13"/>
  <c r="L36" i="13"/>
  <c r="L38" i="13"/>
  <c r="L42" i="13"/>
  <c r="M17" i="13"/>
  <c r="M19" i="13"/>
  <c r="M36" i="13"/>
  <c r="M38" i="13"/>
  <c r="M42" i="13"/>
  <c r="N17" i="13"/>
  <c r="N19" i="13"/>
  <c r="N36" i="13"/>
  <c r="N38" i="13"/>
  <c r="N42" i="13"/>
  <c r="O17" i="13"/>
  <c r="O19" i="13"/>
  <c r="O36" i="13"/>
  <c r="O38" i="13"/>
  <c r="O42" i="13"/>
  <c r="P17" i="13"/>
  <c r="P19" i="13"/>
  <c r="P36" i="13"/>
  <c r="P38" i="13"/>
  <c r="P42" i="13"/>
  <c r="Q17" i="13"/>
  <c r="Q19" i="13"/>
  <c r="Q36" i="13"/>
  <c r="Q38" i="13"/>
  <c r="Q42" i="13"/>
  <c r="R17" i="13"/>
  <c r="R19" i="13"/>
  <c r="R36" i="13"/>
  <c r="R38" i="13"/>
  <c r="R42" i="13"/>
  <c r="S17" i="13"/>
  <c r="S19" i="13"/>
  <c r="S36" i="13"/>
  <c r="S38" i="13"/>
  <c r="S42" i="13"/>
  <c r="T17" i="13"/>
  <c r="T19" i="13"/>
  <c r="T36" i="13"/>
  <c r="T38" i="13"/>
  <c r="T42" i="13"/>
  <c r="U17" i="13"/>
  <c r="U19" i="13"/>
  <c r="U36" i="13"/>
  <c r="U38" i="13"/>
  <c r="U42" i="13"/>
  <c r="V17" i="13"/>
  <c r="V19" i="13"/>
  <c r="V36" i="13"/>
  <c r="V38" i="13"/>
  <c r="V42" i="13"/>
  <c r="W17" i="13"/>
  <c r="W19" i="13"/>
  <c r="W36" i="13"/>
  <c r="W38" i="13"/>
  <c r="W42" i="13"/>
  <c r="X17" i="13"/>
  <c r="X19" i="13"/>
  <c r="X36" i="13"/>
  <c r="X38" i="13"/>
  <c r="X42" i="13"/>
  <c r="Y17" i="13"/>
  <c r="Y19" i="13"/>
  <c r="Y36" i="13"/>
  <c r="Y38" i="13"/>
  <c r="Y42" i="13"/>
  <c r="Z17" i="13"/>
  <c r="Z19" i="13"/>
  <c r="Z36" i="13"/>
  <c r="Z38" i="13"/>
  <c r="Z42" i="13"/>
  <c r="AA17" i="13"/>
  <c r="AA19" i="13"/>
  <c r="AA36" i="13"/>
  <c r="AA38" i="13"/>
  <c r="AA42" i="13"/>
  <c r="AB17" i="13"/>
  <c r="AB19" i="13"/>
  <c r="AB36" i="13"/>
  <c r="AB38" i="13"/>
  <c r="AB42" i="13"/>
  <c r="AC17" i="13"/>
  <c r="AC19" i="13"/>
  <c r="AC36" i="13"/>
  <c r="AC38" i="13"/>
  <c r="AC42" i="13"/>
  <c r="AD17" i="13"/>
  <c r="AD19" i="13"/>
  <c r="AD36" i="13"/>
  <c r="AD38" i="13"/>
  <c r="AD42" i="13"/>
  <c r="AE17" i="13"/>
  <c r="AE19" i="13"/>
  <c r="AE36" i="13"/>
  <c r="AE38" i="13"/>
  <c r="AE42" i="13"/>
  <c r="AF17" i="13"/>
  <c r="AF19" i="13"/>
  <c r="AF36" i="13"/>
  <c r="AF38" i="13"/>
  <c r="AF42" i="13"/>
  <c r="AG17" i="13"/>
  <c r="AG19" i="13"/>
  <c r="AG36" i="13"/>
  <c r="AG38" i="13"/>
  <c r="AG42" i="13"/>
  <c r="AH17" i="13"/>
  <c r="AH19" i="13"/>
  <c r="AH36" i="13"/>
  <c r="AH38" i="13"/>
  <c r="AH42" i="13"/>
  <c r="AI17" i="13"/>
  <c r="AI19" i="13"/>
  <c r="AI36" i="13"/>
  <c r="AI38" i="13"/>
  <c r="AI42" i="13"/>
  <c r="AJ17" i="13"/>
  <c r="AJ19" i="13"/>
  <c r="AJ36" i="13"/>
  <c r="AJ38" i="13"/>
  <c r="AJ42" i="13"/>
  <c r="AK17" i="13"/>
  <c r="AK19" i="13"/>
  <c r="AK36" i="13"/>
  <c r="AK38" i="13"/>
  <c r="AK42" i="13"/>
  <c r="AL17" i="13"/>
  <c r="AL19" i="13"/>
  <c r="AL36" i="13"/>
  <c r="AL38" i="13"/>
  <c r="AL42" i="13"/>
  <c r="AM17" i="13"/>
  <c r="AM19" i="13"/>
  <c r="AM36" i="13"/>
  <c r="AM38" i="13"/>
  <c r="AM42" i="13"/>
  <c r="AN17" i="13"/>
  <c r="AN19" i="13"/>
  <c r="AN36" i="13"/>
  <c r="AN38" i="13"/>
  <c r="AN42" i="13"/>
  <c r="AO17" i="13"/>
  <c r="AO19" i="13"/>
  <c r="AO36" i="13"/>
  <c r="AO38" i="13"/>
  <c r="AO42" i="13"/>
  <c r="AP17" i="13"/>
  <c r="AP19" i="13"/>
  <c r="AP36" i="13"/>
  <c r="AP38" i="13"/>
  <c r="AP42" i="13"/>
  <c r="AQ17" i="13"/>
  <c r="AQ19" i="13"/>
  <c r="AQ36" i="13"/>
  <c r="AQ38" i="13"/>
  <c r="AQ42" i="13"/>
  <c r="AR17" i="13"/>
  <c r="AR19" i="13"/>
  <c r="AR36" i="13"/>
  <c r="AR38" i="13"/>
  <c r="AR42" i="13"/>
  <c r="AS17" i="13"/>
  <c r="AS19" i="13"/>
  <c r="AS36" i="13"/>
  <c r="AS38" i="13"/>
  <c r="AS42" i="13"/>
  <c r="AT17" i="13"/>
  <c r="AT19" i="13"/>
  <c r="AT36" i="13"/>
  <c r="AT38" i="13"/>
  <c r="AT42" i="13"/>
  <c r="AU17" i="13"/>
  <c r="AU19" i="13"/>
  <c r="AU36" i="13"/>
  <c r="AU38" i="13"/>
  <c r="AU42" i="13"/>
  <c r="AV17" i="13"/>
  <c r="AV19" i="13"/>
  <c r="AV36" i="13"/>
  <c r="AV38" i="13"/>
  <c r="AV42" i="13"/>
  <c r="AW17" i="13"/>
  <c r="AW19" i="13"/>
  <c r="AW36" i="13"/>
  <c r="AW38" i="13"/>
  <c r="AW42" i="13"/>
  <c r="AX17" i="13"/>
  <c r="AX19" i="13"/>
  <c r="AX36" i="13"/>
  <c r="AX38" i="13"/>
  <c r="AX42" i="13"/>
  <c r="AY17" i="13"/>
  <c r="AY19" i="13"/>
  <c r="AY36" i="13"/>
  <c r="AY38" i="13"/>
  <c r="AY42" i="13"/>
  <c r="AZ17" i="13"/>
  <c r="AZ19" i="13"/>
  <c r="AZ36" i="13"/>
  <c r="AZ38" i="13"/>
  <c r="AZ42" i="13"/>
  <c r="BA17" i="13"/>
  <c r="BA19" i="13"/>
  <c r="BA36" i="13"/>
  <c r="BA38" i="13"/>
  <c r="BA42" i="13"/>
  <c r="BB17" i="13"/>
  <c r="BB19" i="13"/>
  <c r="BB36" i="13"/>
  <c r="BB38" i="13"/>
  <c r="BB42" i="13"/>
  <c r="BC17" i="13"/>
  <c r="BC19" i="13"/>
  <c r="BC36" i="13"/>
  <c r="BC38" i="13"/>
  <c r="BC42" i="13"/>
  <c r="BD17" i="13"/>
  <c r="BD19" i="13"/>
  <c r="BD36" i="13"/>
  <c r="BD38" i="13"/>
  <c r="BD42" i="13"/>
  <c r="BE17" i="13"/>
  <c r="BE19" i="13"/>
  <c r="BE36" i="13"/>
  <c r="BE38" i="13"/>
  <c r="BE42" i="13"/>
  <c r="BF17" i="13"/>
  <c r="BF19" i="13"/>
  <c r="BF36" i="13"/>
  <c r="BF38" i="13"/>
  <c r="BF42" i="13"/>
  <c r="BG17" i="13"/>
  <c r="BG19" i="13"/>
  <c r="BG36" i="13"/>
  <c r="BG38" i="13"/>
  <c r="BG42" i="13"/>
  <c r="BH17" i="13"/>
  <c r="BH19" i="13"/>
  <c r="BH36" i="13"/>
  <c r="BH38" i="13"/>
  <c r="BH42" i="13"/>
  <c r="BI17" i="13"/>
  <c r="BI19" i="13"/>
  <c r="BI36" i="13"/>
  <c r="BI38" i="13"/>
  <c r="BI42" i="13"/>
  <c r="BJ17" i="13"/>
  <c r="BJ19" i="13"/>
  <c r="BJ36" i="13"/>
  <c r="BJ38" i="13"/>
  <c r="BJ42" i="13"/>
  <c r="BK17" i="13"/>
  <c r="BK19" i="13"/>
  <c r="BK36" i="13"/>
  <c r="BK38" i="13"/>
  <c r="BK42" i="13"/>
  <c r="BL17" i="13"/>
  <c r="BL19" i="13"/>
  <c r="BL36" i="13"/>
  <c r="BL38" i="13"/>
  <c r="BL42" i="13"/>
  <c r="BM17" i="13"/>
  <c r="BM19" i="13"/>
  <c r="BM36" i="13"/>
  <c r="BM38" i="13"/>
  <c r="BM42" i="13"/>
  <c r="BN17" i="13"/>
  <c r="BN19" i="13"/>
  <c r="BN36" i="13"/>
  <c r="BN38" i="13"/>
  <c r="BN42" i="13"/>
  <c r="BO17" i="13"/>
  <c r="BO19" i="13"/>
  <c r="BO36" i="13"/>
  <c r="BO38" i="13"/>
  <c r="BO42" i="13"/>
  <c r="BP17" i="13"/>
  <c r="BP19" i="13"/>
  <c r="BP36" i="13"/>
  <c r="BP38" i="13"/>
  <c r="BP42" i="13"/>
  <c r="BQ17" i="13"/>
  <c r="BQ19" i="13"/>
  <c r="BQ36" i="13"/>
  <c r="BQ38" i="13"/>
  <c r="BQ42" i="13"/>
  <c r="BR17" i="13"/>
  <c r="BR19" i="13"/>
  <c r="BR36" i="13"/>
  <c r="BR38" i="13"/>
  <c r="BR42" i="13"/>
  <c r="BS17" i="13"/>
  <c r="BS19" i="13"/>
  <c r="BS36" i="13"/>
  <c r="BS38" i="13"/>
  <c r="BS42" i="13"/>
  <c r="BT17" i="13"/>
  <c r="BT19" i="13"/>
  <c r="BT36" i="13"/>
  <c r="BT38" i="13"/>
  <c r="BT42" i="13"/>
  <c r="BU17" i="13"/>
  <c r="BU19" i="13"/>
  <c r="BU36" i="13"/>
  <c r="BU38" i="13"/>
  <c r="BU42" i="13"/>
  <c r="BV17" i="13"/>
  <c r="BV19" i="13"/>
  <c r="BV36" i="13"/>
  <c r="BV38" i="13"/>
  <c r="BV42" i="13"/>
  <c r="BW17" i="13"/>
  <c r="BW19" i="13"/>
  <c r="BW36" i="13"/>
  <c r="BW38" i="13"/>
  <c r="BW42" i="13"/>
  <c r="BX17" i="13"/>
  <c r="BX19" i="13"/>
  <c r="BX36" i="13"/>
  <c r="BX38" i="13"/>
  <c r="BX42" i="13"/>
  <c r="BY17" i="13"/>
  <c r="BY19" i="13"/>
  <c r="BY36" i="13"/>
  <c r="BY38" i="13"/>
  <c r="BY42" i="13"/>
  <c r="BZ17" i="13"/>
  <c r="BZ19" i="13"/>
  <c r="BZ36" i="13"/>
  <c r="BZ38" i="13"/>
  <c r="BZ42" i="13"/>
  <c r="CA17" i="13"/>
  <c r="CA19" i="13"/>
  <c r="CA36" i="13"/>
  <c r="CA38" i="13"/>
  <c r="CA42" i="13"/>
  <c r="CB17" i="13"/>
  <c r="CB19" i="13"/>
  <c r="CB36" i="13"/>
  <c r="CB38" i="13"/>
  <c r="CB42" i="13"/>
  <c r="CC17" i="13"/>
  <c r="CC19" i="13"/>
  <c r="CC36" i="13"/>
  <c r="CC38" i="13"/>
  <c r="CC42" i="13"/>
  <c r="CD17" i="13"/>
  <c r="CD19" i="13"/>
  <c r="CD36" i="13"/>
  <c r="CD38" i="13"/>
  <c r="CD42" i="13"/>
  <c r="CE17" i="13"/>
  <c r="CE19" i="13"/>
  <c r="CE36" i="13"/>
  <c r="CE38" i="13"/>
  <c r="CE42" i="13"/>
  <c r="CF17" i="13"/>
  <c r="CF19" i="13"/>
  <c r="CF36" i="13"/>
  <c r="CF38" i="13"/>
  <c r="CF42" i="13"/>
  <c r="CG17" i="13"/>
  <c r="CG19" i="13"/>
  <c r="CG36" i="13"/>
  <c r="CG38" i="13"/>
  <c r="CG42" i="13"/>
  <c r="CH17" i="13"/>
  <c r="CH19" i="13"/>
  <c r="CH36" i="13"/>
  <c r="CH38" i="13"/>
  <c r="CH42" i="13"/>
  <c r="CI17" i="13"/>
  <c r="CI19" i="13"/>
  <c r="CI36" i="13"/>
  <c r="CI38" i="13"/>
  <c r="CI42" i="13"/>
  <c r="CJ17" i="13"/>
  <c r="CJ19" i="13"/>
  <c r="CJ36" i="13"/>
  <c r="CJ38" i="13"/>
  <c r="CJ42" i="13"/>
  <c r="CK17" i="13"/>
  <c r="CK19" i="13"/>
  <c r="CK36" i="13"/>
  <c r="CK38" i="13"/>
  <c r="CK42" i="13"/>
  <c r="CL17" i="13"/>
  <c r="CL19" i="13"/>
  <c r="CL36" i="13"/>
  <c r="CL38" i="13"/>
  <c r="CL42" i="13"/>
  <c r="CM17" i="13"/>
  <c r="CM19" i="13"/>
  <c r="CM36" i="13"/>
  <c r="CM38" i="13"/>
  <c r="CM42" i="13"/>
  <c r="CN17" i="13"/>
  <c r="CN19" i="13"/>
  <c r="CN36" i="13"/>
  <c r="CN38" i="13"/>
  <c r="CN42" i="13"/>
  <c r="CO17" i="13"/>
  <c r="CO19" i="13"/>
  <c r="CO36" i="13"/>
  <c r="CO38" i="13"/>
  <c r="CO42" i="13"/>
  <c r="CP17" i="13"/>
  <c r="CP19" i="13"/>
  <c r="CP36" i="13"/>
  <c r="CP38" i="13"/>
  <c r="CP42" i="13"/>
  <c r="CQ17" i="13"/>
  <c r="CQ19" i="13"/>
  <c r="CQ36" i="13"/>
  <c r="CQ38" i="13"/>
  <c r="CQ42" i="13"/>
  <c r="CR17" i="13"/>
  <c r="CR19" i="13"/>
  <c r="CR36" i="13"/>
  <c r="CR38" i="13"/>
  <c r="CR42" i="13"/>
  <c r="CS17" i="13"/>
  <c r="CS19" i="13"/>
  <c r="CS36" i="13"/>
  <c r="CS38" i="13"/>
  <c r="CS42" i="13"/>
  <c r="CT17" i="13"/>
  <c r="CT19" i="13"/>
  <c r="CT36" i="13"/>
  <c r="CT38" i="13"/>
  <c r="CT42" i="13"/>
  <c r="CU17" i="13"/>
  <c r="CU19" i="13"/>
  <c r="CU36" i="13"/>
  <c r="CU38" i="13"/>
  <c r="CU42" i="13"/>
  <c r="CV17" i="13"/>
  <c r="CV19" i="13"/>
  <c r="CV36" i="13"/>
  <c r="CV38" i="13"/>
  <c r="CV42" i="13"/>
  <c r="CW17" i="13"/>
  <c r="CW19" i="13"/>
  <c r="CW36" i="13"/>
  <c r="CW38" i="13"/>
  <c r="CW42" i="13"/>
  <c r="CX17" i="13"/>
  <c r="CX19" i="13"/>
  <c r="CX36" i="13"/>
  <c r="CX38" i="13"/>
  <c r="CX42" i="13"/>
  <c r="CY17" i="13"/>
  <c r="CY19" i="13"/>
  <c r="CY36" i="13"/>
  <c r="CY38" i="13"/>
  <c r="CY42" i="13"/>
  <c r="CZ17" i="13"/>
  <c r="CZ19" i="13"/>
  <c r="CZ36" i="13"/>
  <c r="CZ38" i="13"/>
  <c r="CZ42" i="13"/>
  <c r="DA17" i="13"/>
  <c r="DA19" i="13"/>
  <c r="DA36" i="13"/>
  <c r="DA38" i="13"/>
  <c r="DA42" i="13"/>
  <c r="DB17" i="13"/>
  <c r="DB19" i="13"/>
  <c r="DB36" i="13"/>
  <c r="DB38" i="13"/>
  <c r="DB42" i="13"/>
  <c r="DC17" i="13"/>
  <c r="DC19" i="13"/>
  <c r="DC36" i="13"/>
  <c r="DC38" i="13"/>
  <c r="DC42" i="13"/>
  <c r="N8" i="15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O44" i="19"/>
  <c r="BP44" i="19"/>
  <c r="BQ44" i="19"/>
  <c r="BR44" i="19"/>
  <c r="BS44" i="19"/>
  <c r="BT44" i="19"/>
  <c r="BU44" i="19"/>
  <c r="BV44" i="19"/>
  <c r="BW44" i="19"/>
  <c r="BX44" i="19"/>
  <c r="BY44" i="19"/>
  <c r="BZ44" i="19"/>
  <c r="CA44" i="19"/>
  <c r="CB44" i="19"/>
  <c r="CC44" i="19"/>
  <c r="CD44" i="19"/>
  <c r="CE44" i="19"/>
  <c r="CF44" i="19"/>
  <c r="CG44" i="19"/>
  <c r="CH44" i="19"/>
  <c r="CI44" i="19"/>
  <c r="CJ44" i="19"/>
  <c r="CK44" i="19"/>
  <c r="CL44" i="19"/>
  <c r="CM44" i="19"/>
  <c r="CN44" i="19"/>
  <c r="CO44" i="19"/>
  <c r="CP44" i="19"/>
  <c r="CQ44" i="19"/>
  <c r="CR44" i="19"/>
  <c r="CS44" i="19"/>
  <c r="CT44" i="19"/>
  <c r="CU44" i="19"/>
  <c r="CV44" i="19"/>
  <c r="CW44" i="19"/>
  <c r="CX44" i="19"/>
  <c r="CY44" i="19"/>
  <c r="CZ44" i="19"/>
  <c r="DA44" i="19"/>
  <c r="V7" i="5"/>
  <c r="W7" i="5"/>
  <c r="V9" i="5"/>
  <c r="W9" i="5"/>
  <c r="V8" i="7"/>
  <c r="W8" i="7"/>
  <c r="V9" i="10"/>
  <c r="W9" i="10"/>
  <c r="V7" i="41"/>
  <c r="W7" i="41"/>
  <c r="V8" i="14"/>
  <c r="W8" i="14"/>
  <c r="V8" i="16"/>
  <c r="W8" i="16"/>
  <c r="V9" i="16"/>
  <c r="W9" i="16"/>
  <c r="V10" i="42"/>
  <c r="W10" i="42"/>
  <c r="G44" i="19"/>
  <c r="G46" i="19"/>
  <c r="DC47" i="19"/>
  <c r="DB47" i="19"/>
  <c r="DA47" i="19"/>
  <c r="CZ47" i="19"/>
  <c r="CY47" i="19"/>
  <c r="CX47" i="19"/>
  <c r="CW47" i="19"/>
  <c r="CV47" i="19"/>
  <c r="CU47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DA45" i="19"/>
  <c r="CZ45" i="19"/>
  <c r="CY45" i="19"/>
  <c r="CX45" i="19"/>
  <c r="CW45" i="19"/>
  <c r="CV45" i="19"/>
  <c r="CU45" i="19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G45" i="19"/>
  <c r="G38" i="19"/>
  <c r="DC34" i="19"/>
  <c r="DC35" i="19"/>
  <c r="DC36" i="19"/>
  <c r="DC37" i="19"/>
  <c r="DB34" i="19"/>
  <c r="DB35" i="19"/>
  <c r="DB36" i="19"/>
  <c r="DB37" i="19"/>
  <c r="DA34" i="19"/>
  <c r="DA35" i="19"/>
  <c r="DA36" i="19"/>
  <c r="DA37" i="19"/>
  <c r="CZ34" i="19"/>
  <c r="CZ35" i="19"/>
  <c r="CZ36" i="19"/>
  <c r="CZ37" i="19"/>
  <c r="CY34" i="19"/>
  <c r="CY35" i="19"/>
  <c r="CY36" i="19"/>
  <c r="CY37" i="19"/>
  <c r="CX34" i="19"/>
  <c r="CX35" i="19"/>
  <c r="CX36" i="19"/>
  <c r="CX37" i="19"/>
  <c r="CW34" i="19"/>
  <c r="CW35" i="19"/>
  <c r="CW36" i="19"/>
  <c r="CW37" i="19"/>
  <c r="CV34" i="19"/>
  <c r="CV35" i="19"/>
  <c r="CV36" i="19"/>
  <c r="CV37" i="19"/>
  <c r="CU34" i="19"/>
  <c r="CU35" i="19"/>
  <c r="CU36" i="19"/>
  <c r="CU37" i="19"/>
  <c r="CT34" i="19"/>
  <c r="CT35" i="19"/>
  <c r="CT36" i="19"/>
  <c r="CT37" i="19"/>
  <c r="CS34" i="19"/>
  <c r="CS35" i="19"/>
  <c r="CS36" i="19"/>
  <c r="CS37" i="19"/>
  <c r="CR34" i="19"/>
  <c r="CR35" i="19"/>
  <c r="CR36" i="19"/>
  <c r="CR37" i="19"/>
  <c r="CQ34" i="19"/>
  <c r="CQ35" i="19"/>
  <c r="CQ36" i="19"/>
  <c r="CQ37" i="19"/>
  <c r="CP34" i="19"/>
  <c r="CP35" i="19"/>
  <c r="CP36" i="19"/>
  <c r="CP37" i="19"/>
  <c r="CO34" i="19"/>
  <c r="CO35" i="19"/>
  <c r="CO36" i="19"/>
  <c r="CO37" i="19"/>
  <c r="CN34" i="19"/>
  <c r="CN35" i="19"/>
  <c r="CN36" i="19"/>
  <c r="CN37" i="19"/>
  <c r="CM34" i="19"/>
  <c r="CM35" i="19"/>
  <c r="CM36" i="19"/>
  <c r="CM37" i="19"/>
  <c r="CL34" i="19"/>
  <c r="CL35" i="19"/>
  <c r="CL36" i="19"/>
  <c r="CL37" i="19"/>
  <c r="CK34" i="19"/>
  <c r="CK35" i="19"/>
  <c r="CK36" i="19"/>
  <c r="CK37" i="19"/>
  <c r="CJ34" i="19"/>
  <c r="CJ35" i="19"/>
  <c r="CJ36" i="19"/>
  <c r="CJ37" i="19"/>
  <c r="CI34" i="19"/>
  <c r="CI35" i="19"/>
  <c r="CI36" i="19"/>
  <c r="CI37" i="19"/>
  <c r="CH34" i="19"/>
  <c r="CH35" i="19"/>
  <c r="CH36" i="19"/>
  <c r="CH37" i="19"/>
  <c r="CG34" i="19"/>
  <c r="CG35" i="19"/>
  <c r="CG36" i="19"/>
  <c r="CG37" i="19"/>
  <c r="CF34" i="19"/>
  <c r="CF35" i="19"/>
  <c r="CF36" i="19"/>
  <c r="CF37" i="19"/>
  <c r="CE34" i="19"/>
  <c r="CE35" i="19"/>
  <c r="CE36" i="19"/>
  <c r="CE37" i="19"/>
  <c r="CD34" i="19"/>
  <c r="CD35" i="19"/>
  <c r="CD36" i="19"/>
  <c r="CD37" i="19"/>
  <c r="CC34" i="19"/>
  <c r="CC35" i="19"/>
  <c r="CC36" i="19"/>
  <c r="CC37" i="19"/>
  <c r="CB34" i="19"/>
  <c r="CB35" i="19"/>
  <c r="CB36" i="19"/>
  <c r="CB37" i="19"/>
  <c r="CA34" i="19"/>
  <c r="CA35" i="19"/>
  <c r="CA36" i="19"/>
  <c r="CA37" i="19"/>
  <c r="BZ34" i="19"/>
  <c r="BZ35" i="19"/>
  <c r="BZ36" i="19"/>
  <c r="BZ37" i="19"/>
  <c r="BY34" i="19"/>
  <c r="BY35" i="19"/>
  <c r="BY36" i="19"/>
  <c r="BY37" i="19"/>
  <c r="BX34" i="19"/>
  <c r="BX35" i="19"/>
  <c r="BX36" i="19"/>
  <c r="BX37" i="19"/>
  <c r="BW34" i="19"/>
  <c r="BW35" i="19"/>
  <c r="BW36" i="19"/>
  <c r="BW37" i="19"/>
  <c r="BV34" i="19"/>
  <c r="BV35" i="19"/>
  <c r="BV36" i="19"/>
  <c r="BV37" i="19"/>
  <c r="BU34" i="19"/>
  <c r="BU35" i="19"/>
  <c r="BU36" i="19"/>
  <c r="BU37" i="19"/>
  <c r="BT34" i="19"/>
  <c r="BT35" i="19"/>
  <c r="BT36" i="19"/>
  <c r="BT37" i="19"/>
  <c r="BS34" i="19"/>
  <c r="BS35" i="19"/>
  <c r="BS36" i="19"/>
  <c r="BS37" i="19"/>
  <c r="BR34" i="19"/>
  <c r="BR35" i="19"/>
  <c r="BR36" i="19"/>
  <c r="BR37" i="19"/>
  <c r="BQ34" i="19"/>
  <c r="BQ35" i="19"/>
  <c r="BQ36" i="19"/>
  <c r="BQ37" i="19"/>
  <c r="BP34" i="19"/>
  <c r="BP35" i="19"/>
  <c r="BP36" i="19"/>
  <c r="BP37" i="19"/>
  <c r="BO34" i="19"/>
  <c r="BO35" i="19"/>
  <c r="BO36" i="19"/>
  <c r="BO37" i="19"/>
  <c r="BN34" i="19"/>
  <c r="BN35" i="19"/>
  <c r="BN36" i="19"/>
  <c r="BN37" i="19"/>
  <c r="BM34" i="19"/>
  <c r="BM35" i="19"/>
  <c r="BM36" i="19"/>
  <c r="BM37" i="19"/>
  <c r="BL34" i="19"/>
  <c r="BL35" i="19"/>
  <c r="BL36" i="19"/>
  <c r="BL37" i="19"/>
  <c r="BK34" i="19"/>
  <c r="BK35" i="19"/>
  <c r="BK36" i="19"/>
  <c r="BK37" i="19"/>
  <c r="BJ34" i="19"/>
  <c r="BJ35" i="19"/>
  <c r="BJ36" i="19"/>
  <c r="BJ37" i="19"/>
  <c r="BI34" i="19"/>
  <c r="BI35" i="19"/>
  <c r="BI36" i="19"/>
  <c r="BI37" i="19"/>
  <c r="BH34" i="19"/>
  <c r="BH35" i="19"/>
  <c r="BH36" i="19"/>
  <c r="BH37" i="19"/>
  <c r="BG34" i="19"/>
  <c r="BG35" i="19"/>
  <c r="BG36" i="19"/>
  <c r="BG37" i="19"/>
  <c r="BF34" i="19"/>
  <c r="BF35" i="19"/>
  <c r="BF36" i="19"/>
  <c r="BF37" i="19"/>
  <c r="BE34" i="19"/>
  <c r="BE35" i="19"/>
  <c r="BE36" i="19"/>
  <c r="BE37" i="19"/>
  <c r="BD34" i="19"/>
  <c r="BD35" i="19"/>
  <c r="BD36" i="19"/>
  <c r="BD37" i="19"/>
  <c r="BC34" i="19"/>
  <c r="BC35" i="19"/>
  <c r="BC36" i="19"/>
  <c r="BC37" i="19"/>
  <c r="BB34" i="19"/>
  <c r="BB35" i="19"/>
  <c r="BB36" i="19"/>
  <c r="BB37" i="19"/>
  <c r="BA34" i="19"/>
  <c r="BA35" i="19"/>
  <c r="BA36" i="19"/>
  <c r="BA37" i="19"/>
  <c r="AZ34" i="19"/>
  <c r="AZ35" i="19"/>
  <c r="AZ36" i="19"/>
  <c r="AZ37" i="19"/>
  <c r="AY34" i="19"/>
  <c r="AY35" i="19"/>
  <c r="AY36" i="19"/>
  <c r="AY37" i="19"/>
  <c r="AX34" i="19"/>
  <c r="AX35" i="19"/>
  <c r="AX36" i="19"/>
  <c r="AX37" i="19"/>
  <c r="AW34" i="19"/>
  <c r="AW35" i="19"/>
  <c r="AW36" i="19"/>
  <c r="AW37" i="19"/>
  <c r="AV34" i="19"/>
  <c r="AV35" i="19"/>
  <c r="AV36" i="19"/>
  <c r="AV37" i="19"/>
  <c r="AU34" i="19"/>
  <c r="AU35" i="19"/>
  <c r="AU36" i="19"/>
  <c r="AU37" i="19"/>
  <c r="AT34" i="19"/>
  <c r="AT35" i="19"/>
  <c r="AT36" i="19"/>
  <c r="AT37" i="19"/>
  <c r="AS34" i="19"/>
  <c r="AS35" i="19"/>
  <c r="AS36" i="19"/>
  <c r="AS37" i="19"/>
  <c r="AR34" i="19"/>
  <c r="AR35" i="19"/>
  <c r="AR36" i="19"/>
  <c r="AR37" i="19"/>
  <c r="AQ34" i="19"/>
  <c r="AQ35" i="19"/>
  <c r="AQ36" i="19"/>
  <c r="AQ37" i="19"/>
  <c r="AP34" i="19"/>
  <c r="AP35" i="19"/>
  <c r="AP36" i="19"/>
  <c r="AP37" i="19"/>
  <c r="AO34" i="19"/>
  <c r="AO35" i="19"/>
  <c r="AO36" i="19"/>
  <c r="AO37" i="19"/>
  <c r="AN34" i="19"/>
  <c r="AN35" i="19"/>
  <c r="AN36" i="19"/>
  <c r="AN37" i="19"/>
  <c r="AM34" i="19"/>
  <c r="AM35" i="19"/>
  <c r="AM36" i="19"/>
  <c r="AM37" i="19"/>
  <c r="AL34" i="19"/>
  <c r="AL35" i="19"/>
  <c r="AL36" i="19"/>
  <c r="AL37" i="19"/>
  <c r="AK34" i="19"/>
  <c r="AK35" i="19"/>
  <c r="AK36" i="19"/>
  <c r="AK37" i="19"/>
  <c r="AJ34" i="19"/>
  <c r="AJ35" i="19"/>
  <c r="AJ36" i="19"/>
  <c r="AJ37" i="19"/>
  <c r="AI34" i="19"/>
  <c r="AI35" i="19"/>
  <c r="AI36" i="19"/>
  <c r="AI37" i="19"/>
  <c r="AH34" i="19"/>
  <c r="AH35" i="19"/>
  <c r="AH36" i="19"/>
  <c r="AH37" i="19"/>
  <c r="AG34" i="19"/>
  <c r="AG35" i="19"/>
  <c r="AG36" i="19"/>
  <c r="AG37" i="19"/>
  <c r="AF34" i="19"/>
  <c r="AF35" i="19"/>
  <c r="AF36" i="19"/>
  <c r="AF37" i="19"/>
  <c r="AE34" i="19"/>
  <c r="AE35" i="19"/>
  <c r="AE36" i="19"/>
  <c r="AE37" i="19"/>
  <c r="AD34" i="19"/>
  <c r="AD35" i="19"/>
  <c r="AD36" i="19"/>
  <c r="AD37" i="19"/>
  <c r="AC34" i="19"/>
  <c r="AC35" i="19"/>
  <c r="AC36" i="19"/>
  <c r="AC37" i="19"/>
  <c r="AB34" i="19"/>
  <c r="AB35" i="19"/>
  <c r="AB36" i="19"/>
  <c r="AB37" i="19"/>
  <c r="AA34" i="19"/>
  <c r="AA35" i="19"/>
  <c r="AA36" i="19"/>
  <c r="AA37" i="19"/>
  <c r="Z34" i="19"/>
  <c r="Z35" i="19"/>
  <c r="Z36" i="19"/>
  <c r="Z37" i="19"/>
  <c r="Y34" i="19"/>
  <c r="Y35" i="19"/>
  <c r="Y36" i="19"/>
  <c r="Y37" i="19"/>
  <c r="X34" i="19"/>
  <c r="X35" i="19"/>
  <c r="X36" i="19"/>
  <c r="X37" i="19"/>
  <c r="W34" i="19"/>
  <c r="W35" i="19"/>
  <c r="W36" i="19"/>
  <c r="W37" i="19"/>
  <c r="V34" i="19"/>
  <c r="V35" i="19"/>
  <c r="V36" i="19"/>
  <c r="V37" i="19"/>
  <c r="U34" i="19"/>
  <c r="U35" i="19"/>
  <c r="U36" i="19"/>
  <c r="U37" i="19"/>
  <c r="T34" i="19"/>
  <c r="T35" i="19"/>
  <c r="T36" i="19"/>
  <c r="T37" i="19"/>
  <c r="S34" i="19"/>
  <c r="S35" i="19"/>
  <c r="S36" i="19"/>
  <c r="S37" i="19"/>
  <c r="R34" i="19"/>
  <c r="R35" i="19"/>
  <c r="R36" i="19"/>
  <c r="R37" i="19"/>
  <c r="Q34" i="19"/>
  <c r="Q35" i="19"/>
  <c r="Q36" i="19"/>
  <c r="Q37" i="19"/>
  <c r="P34" i="19"/>
  <c r="P35" i="19"/>
  <c r="P36" i="19"/>
  <c r="P37" i="19"/>
  <c r="O34" i="19"/>
  <c r="O35" i="19"/>
  <c r="O36" i="19"/>
  <c r="O37" i="19"/>
  <c r="N34" i="19"/>
  <c r="N35" i="19"/>
  <c r="N36" i="19"/>
  <c r="N37" i="19"/>
  <c r="M34" i="19"/>
  <c r="M35" i="19"/>
  <c r="M36" i="19"/>
  <c r="M37" i="19"/>
  <c r="L34" i="19"/>
  <c r="L35" i="19"/>
  <c r="L36" i="19"/>
  <c r="L37" i="19"/>
  <c r="K34" i="19"/>
  <c r="K35" i="19"/>
  <c r="K36" i="19"/>
  <c r="K37" i="19"/>
  <c r="J34" i="19"/>
  <c r="J35" i="19"/>
  <c r="J36" i="19"/>
  <c r="J37" i="19"/>
  <c r="I34" i="19"/>
  <c r="I35" i="19"/>
  <c r="I36" i="19"/>
  <c r="I37" i="19"/>
  <c r="H34" i="19"/>
  <c r="H35" i="19"/>
  <c r="H36" i="19"/>
  <c r="H37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18" i="19"/>
  <c r="DC17" i="19"/>
  <c r="DB17" i="19"/>
  <c r="DA17" i="19"/>
  <c r="CZ17" i="19"/>
  <c r="CY17" i="19"/>
  <c r="CX17" i="19"/>
  <c r="CW17" i="19"/>
  <c r="CV17" i="19"/>
  <c r="CU17" i="19"/>
  <c r="CT17" i="19"/>
  <c r="CS17" i="19"/>
  <c r="CR17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G16" i="19"/>
  <c r="G15" i="19"/>
  <c r="G14" i="19"/>
  <c r="G13" i="19"/>
  <c r="G12" i="19"/>
  <c r="G11" i="19"/>
  <c r="G10" i="19"/>
  <c r="G9" i="19"/>
  <c r="G8" i="19"/>
  <c r="G7" i="19"/>
  <c r="G6" i="19"/>
  <c r="N61" i="42"/>
  <c r="N62" i="42"/>
  <c r="N63" i="42"/>
  <c r="N64" i="42"/>
  <c r="N65" i="42"/>
  <c r="N66" i="42"/>
  <c r="N67" i="42"/>
  <c r="N68" i="42"/>
  <c r="N69" i="42"/>
  <c r="N70" i="42"/>
  <c r="N71" i="42"/>
  <c r="N72" i="42"/>
  <c r="N73" i="42"/>
  <c r="N74" i="42"/>
  <c r="N75" i="42"/>
  <c r="N76" i="42"/>
  <c r="N77" i="42"/>
  <c r="N78" i="42"/>
  <c r="N79" i="42"/>
  <c r="N80" i="42"/>
  <c r="N81" i="42"/>
  <c r="N82" i="42"/>
  <c r="N84" i="42"/>
  <c r="N86" i="42"/>
  <c r="N87" i="42"/>
  <c r="N88" i="42"/>
  <c r="N89" i="42"/>
  <c r="N90" i="42"/>
  <c r="N91" i="42"/>
  <c r="N92" i="42"/>
  <c r="N94" i="42"/>
  <c r="N96" i="42"/>
  <c r="N97" i="42"/>
  <c r="N98" i="42"/>
  <c r="N99" i="42"/>
  <c r="N100" i="42"/>
  <c r="N101" i="42"/>
  <c r="N104" i="42"/>
  <c r="N106" i="42"/>
  <c r="N107" i="42"/>
  <c r="N108" i="42"/>
  <c r="N109" i="42"/>
  <c r="N111" i="42"/>
  <c r="N112" i="42"/>
  <c r="N113" i="42"/>
  <c r="N114" i="42"/>
  <c r="N115" i="42"/>
  <c r="N116" i="42"/>
  <c r="N118" i="42"/>
  <c r="N119" i="42"/>
  <c r="N120" i="42"/>
  <c r="N121" i="42"/>
  <c r="N122" i="42"/>
  <c r="N123" i="42"/>
  <c r="M82" i="42"/>
  <c r="M91" i="42"/>
  <c r="M92" i="42"/>
  <c r="M99" i="42"/>
  <c r="M100" i="42"/>
  <c r="M101" i="42"/>
  <c r="M109" i="42"/>
  <c r="M114" i="42"/>
  <c r="M115" i="42"/>
  <c r="M116" i="42"/>
  <c r="M121" i="42"/>
  <c r="M122" i="42"/>
  <c r="M123" i="42"/>
  <c r="L82" i="42"/>
  <c r="L91" i="42"/>
  <c r="L92" i="42"/>
  <c r="L99" i="42"/>
  <c r="L100" i="42"/>
  <c r="L101" i="42"/>
  <c r="L109" i="42"/>
  <c r="L114" i="42"/>
  <c r="L115" i="42"/>
  <c r="L116" i="42"/>
  <c r="L121" i="42"/>
  <c r="L122" i="42"/>
  <c r="L123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6" i="42"/>
  <c r="K87" i="42"/>
  <c r="K88" i="42"/>
  <c r="K89" i="42"/>
  <c r="K90" i="42"/>
  <c r="K91" i="42"/>
  <c r="K92" i="42"/>
  <c r="K96" i="42"/>
  <c r="K97" i="42"/>
  <c r="K98" i="42"/>
  <c r="K99" i="42"/>
  <c r="K100" i="42"/>
  <c r="K101" i="42"/>
  <c r="K106" i="42"/>
  <c r="K107" i="42"/>
  <c r="K108" i="42"/>
  <c r="K109" i="42"/>
  <c r="K111" i="42"/>
  <c r="K112" i="42"/>
  <c r="K113" i="42"/>
  <c r="K114" i="42"/>
  <c r="K115" i="42"/>
  <c r="K116" i="42"/>
  <c r="K118" i="42"/>
  <c r="K119" i="42"/>
  <c r="K120" i="42"/>
  <c r="K121" i="42"/>
  <c r="K122" i="42"/>
  <c r="K123" i="42"/>
  <c r="V85" i="42"/>
  <c r="R85" i="42"/>
  <c r="V84" i="42"/>
  <c r="R84" i="42"/>
  <c r="Y61" i="42"/>
  <c r="Y62" i="42"/>
  <c r="Y63" i="42"/>
  <c r="Y64" i="42"/>
  <c r="Y65" i="42"/>
  <c r="Y66" i="42"/>
  <c r="Y67" i="42"/>
  <c r="Y68" i="42"/>
  <c r="Y69" i="42"/>
  <c r="Y70" i="42"/>
  <c r="Y71" i="42"/>
  <c r="Y72" i="42"/>
  <c r="Y73" i="42"/>
  <c r="Y74" i="42"/>
  <c r="Y75" i="42"/>
  <c r="Y76" i="42"/>
  <c r="Y77" i="42"/>
  <c r="Y78" i="42"/>
  <c r="Y79" i="42"/>
  <c r="Y80" i="42"/>
  <c r="Y81" i="42"/>
  <c r="Y82" i="42"/>
  <c r="X61" i="42"/>
  <c r="X62" i="42"/>
  <c r="X63" i="42"/>
  <c r="X64" i="42"/>
  <c r="X65" i="42"/>
  <c r="X66" i="42"/>
  <c r="X67" i="42"/>
  <c r="X68" i="42"/>
  <c r="X69" i="42"/>
  <c r="X70" i="42"/>
  <c r="X71" i="42"/>
  <c r="X72" i="42"/>
  <c r="X73" i="42"/>
  <c r="X74" i="42"/>
  <c r="X75" i="42"/>
  <c r="X76" i="42"/>
  <c r="X77" i="42"/>
  <c r="X78" i="42"/>
  <c r="X79" i="42"/>
  <c r="X80" i="42"/>
  <c r="X81" i="42"/>
  <c r="X82" i="42"/>
  <c r="V81" i="42"/>
  <c r="W81" i="42"/>
  <c r="Q81" i="42"/>
  <c r="V80" i="42"/>
  <c r="W80" i="42"/>
  <c r="Q80" i="42"/>
  <c r="P80" i="42"/>
  <c r="V79" i="42"/>
  <c r="W79" i="42"/>
  <c r="Q79" i="42"/>
  <c r="P79" i="42"/>
  <c r="V78" i="42"/>
  <c r="W78" i="42"/>
  <c r="Q78" i="42"/>
  <c r="P78" i="42"/>
  <c r="V77" i="42"/>
  <c r="W77" i="42"/>
  <c r="Q77" i="42"/>
  <c r="P77" i="42"/>
  <c r="V76" i="42"/>
  <c r="W76" i="42"/>
  <c r="Q76" i="42"/>
  <c r="P76" i="42"/>
  <c r="V75" i="42"/>
  <c r="W75" i="42"/>
  <c r="Q75" i="42"/>
  <c r="P75" i="42"/>
  <c r="V74" i="42"/>
  <c r="W74" i="42"/>
  <c r="Q74" i="42"/>
  <c r="P74" i="42"/>
  <c r="V73" i="42"/>
  <c r="W73" i="42"/>
  <c r="Q73" i="42"/>
  <c r="P73" i="42"/>
  <c r="V72" i="42"/>
  <c r="W72" i="42"/>
  <c r="Q72" i="42"/>
  <c r="P72" i="42"/>
  <c r="V71" i="42"/>
  <c r="W71" i="42"/>
  <c r="Q71" i="42"/>
  <c r="P71" i="42"/>
  <c r="V70" i="42"/>
  <c r="W70" i="42"/>
  <c r="Q70" i="42"/>
  <c r="P70" i="42"/>
  <c r="V69" i="42"/>
  <c r="W69" i="42"/>
  <c r="Q69" i="42"/>
  <c r="P69" i="42"/>
  <c r="V68" i="42"/>
  <c r="W68" i="42"/>
  <c r="Q68" i="42"/>
  <c r="P68" i="42"/>
  <c r="V67" i="42"/>
  <c r="W67" i="42"/>
  <c r="Q67" i="42"/>
  <c r="P67" i="42"/>
  <c r="V66" i="42"/>
  <c r="W66" i="42"/>
  <c r="Q66" i="42"/>
  <c r="P66" i="42"/>
  <c r="V65" i="42"/>
  <c r="W65" i="42"/>
  <c r="Q65" i="42"/>
  <c r="P65" i="42"/>
  <c r="V64" i="42"/>
  <c r="W64" i="42"/>
  <c r="Q64" i="42"/>
  <c r="P64" i="42"/>
  <c r="V63" i="42"/>
  <c r="W63" i="42"/>
  <c r="Q63" i="42"/>
  <c r="P63" i="42"/>
  <c r="V62" i="42"/>
  <c r="W62" i="42"/>
  <c r="Q62" i="42"/>
  <c r="P62" i="42"/>
  <c r="V61" i="42"/>
  <c r="W61" i="42"/>
  <c r="Q61" i="42"/>
  <c r="P61" i="42"/>
  <c r="P60" i="42"/>
  <c r="P57" i="42"/>
  <c r="N27" i="42"/>
  <c r="N38" i="42"/>
  <c r="N39" i="42"/>
  <c r="L93" i="22"/>
  <c r="N47" i="42"/>
  <c r="N46" i="42"/>
  <c r="N48" i="42"/>
  <c r="N53" i="42"/>
  <c r="N54" i="42"/>
  <c r="N55" i="42"/>
  <c r="M39" i="42"/>
  <c r="M46" i="42"/>
  <c r="M54" i="42"/>
  <c r="M55" i="42"/>
  <c r="L39" i="42"/>
  <c r="L46" i="42"/>
  <c r="L54" i="42"/>
  <c r="L55" i="42"/>
  <c r="K39" i="42"/>
  <c r="K55" i="42"/>
  <c r="V26" i="42"/>
  <c r="W26" i="42"/>
  <c r="Q26" i="42"/>
  <c r="V25" i="42"/>
  <c r="W25" i="42"/>
  <c r="Q25" i="42"/>
  <c r="P25" i="42"/>
  <c r="V24" i="42"/>
  <c r="W24" i="42"/>
  <c r="Q24" i="42"/>
  <c r="P24" i="42"/>
  <c r="V23" i="42"/>
  <c r="W23" i="42"/>
  <c r="Q23" i="42"/>
  <c r="P23" i="42"/>
  <c r="V22" i="42"/>
  <c r="W22" i="42"/>
  <c r="Q22" i="42"/>
  <c r="P22" i="42"/>
  <c r="V21" i="42"/>
  <c r="W21" i="42"/>
  <c r="Q21" i="42"/>
  <c r="P21" i="42"/>
  <c r="V20" i="42"/>
  <c r="W20" i="42"/>
  <c r="Q20" i="42"/>
  <c r="P20" i="42"/>
  <c r="V19" i="42"/>
  <c r="W19" i="42"/>
  <c r="Q19" i="42"/>
  <c r="P19" i="42"/>
  <c r="V18" i="42"/>
  <c r="W18" i="42"/>
  <c r="Q18" i="42"/>
  <c r="P18" i="42"/>
  <c r="V17" i="42"/>
  <c r="W17" i="42"/>
  <c r="Q17" i="42"/>
  <c r="P17" i="42"/>
  <c r="V16" i="42"/>
  <c r="W16" i="42"/>
  <c r="Q16" i="42"/>
  <c r="P16" i="42"/>
  <c r="V15" i="42"/>
  <c r="W15" i="42"/>
  <c r="Q15" i="42"/>
  <c r="P15" i="42"/>
  <c r="V14" i="42"/>
  <c r="W14" i="42"/>
  <c r="Q14" i="42"/>
  <c r="P14" i="42"/>
  <c r="V13" i="42"/>
  <c r="W13" i="42"/>
  <c r="Q13" i="42"/>
  <c r="P13" i="42"/>
  <c r="V12" i="42"/>
  <c r="W12" i="42"/>
  <c r="Q12" i="42"/>
  <c r="P12" i="42"/>
  <c r="V11" i="42"/>
  <c r="W11" i="42"/>
  <c r="Q11" i="42"/>
  <c r="P11" i="42"/>
  <c r="Q10" i="42"/>
  <c r="P10" i="42"/>
  <c r="V9" i="42"/>
  <c r="W9" i="42"/>
  <c r="Q9" i="42"/>
  <c r="P9" i="42"/>
  <c r="V8" i="42"/>
  <c r="W8" i="42"/>
  <c r="Q8" i="42"/>
  <c r="P8" i="42"/>
  <c r="V7" i="42"/>
  <c r="W7" i="42"/>
  <c r="Q7" i="42"/>
  <c r="P7" i="42"/>
  <c r="V6" i="42"/>
  <c r="W6" i="42"/>
  <c r="Q6" i="42"/>
  <c r="P6" i="42"/>
  <c r="P5" i="42"/>
  <c r="P2" i="42"/>
  <c r="DC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67" i="13"/>
  <c r="G96" i="13"/>
  <c r="G95" i="13"/>
  <c r="DC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69" i="13"/>
  <c r="G94" i="13"/>
  <c r="G93" i="13"/>
  <c r="DC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38" i="13"/>
  <c r="G88" i="13"/>
  <c r="G89" i="13"/>
  <c r="DC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37" i="13"/>
  <c r="G86" i="13"/>
  <c r="G87" i="13"/>
  <c r="G85" i="13"/>
  <c r="G84" i="13"/>
  <c r="G83" i="13"/>
  <c r="G82" i="13"/>
  <c r="G81" i="13"/>
  <c r="G80" i="13"/>
  <c r="G77" i="13"/>
  <c r="G76" i="13"/>
  <c r="G75" i="13"/>
  <c r="DC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19" i="13"/>
  <c r="G70" i="13"/>
  <c r="DC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18" i="13"/>
  <c r="G68" i="13"/>
  <c r="G66" i="13"/>
  <c r="G65" i="13"/>
  <c r="G64" i="13"/>
  <c r="G63" i="13"/>
  <c r="G62" i="13"/>
  <c r="G61" i="13"/>
  <c r="G58" i="13"/>
  <c r="G57" i="13"/>
  <c r="G56" i="13"/>
  <c r="G42" i="13"/>
  <c r="G44" i="13"/>
  <c r="DC45" i="13"/>
  <c r="DB45" i="13"/>
  <c r="DA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DC43" i="13"/>
  <c r="DB43" i="13"/>
  <c r="DA43" i="13"/>
  <c r="CZ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G36" i="13"/>
  <c r="DC32" i="13"/>
  <c r="DC33" i="13"/>
  <c r="DC34" i="13"/>
  <c r="DC35" i="13"/>
  <c r="DB32" i="13"/>
  <c r="DB33" i="13"/>
  <c r="DB34" i="13"/>
  <c r="DB35" i="13"/>
  <c r="DA32" i="13"/>
  <c r="DA33" i="13"/>
  <c r="DA34" i="13"/>
  <c r="DA35" i="13"/>
  <c r="CZ32" i="13"/>
  <c r="CZ33" i="13"/>
  <c r="CZ34" i="13"/>
  <c r="CZ35" i="13"/>
  <c r="CY32" i="13"/>
  <c r="CY33" i="13"/>
  <c r="CY34" i="13"/>
  <c r="CY35" i="13"/>
  <c r="CX32" i="13"/>
  <c r="CX33" i="13"/>
  <c r="CX34" i="13"/>
  <c r="CX35" i="13"/>
  <c r="CW32" i="13"/>
  <c r="CW33" i="13"/>
  <c r="CW34" i="13"/>
  <c r="CW35" i="13"/>
  <c r="CV32" i="13"/>
  <c r="CV33" i="13"/>
  <c r="CV34" i="13"/>
  <c r="CV35" i="13"/>
  <c r="CU32" i="13"/>
  <c r="CU33" i="13"/>
  <c r="CU34" i="13"/>
  <c r="CU35" i="13"/>
  <c r="CT32" i="13"/>
  <c r="CT33" i="13"/>
  <c r="CT34" i="13"/>
  <c r="CT35" i="13"/>
  <c r="CS32" i="13"/>
  <c r="CS33" i="13"/>
  <c r="CS34" i="13"/>
  <c r="CS35" i="13"/>
  <c r="CR32" i="13"/>
  <c r="CR33" i="13"/>
  <c r="CR34" i="13"/>
  <c r="CR35" i="13"/>
  <c r="CQ32" i="13"/>
  <c r="CQ33" i="13"/>
  <c r="CQ34" i="13"/>
  <c r="CQ35" i="13"/>
  <c r="CP32" i="13"/>
  <c r="CP33" i="13"/>
  <c r="CP34" i="13"/>
  <c r="CP35" i="13"/>
  <c r="CO32" i="13"/>
  <c r="CO33" i="13"/>
  <c r="CO34" i="13"/>
  <c r="CO35" i="13"/>
  <c r="CN32" i="13"/>
  <c r="CN33" i="13"/>
  <c r="CN34" i="13"/>
  <c r="CN35" i="13"/>
  <c r="CM32" i="13"/>
  <c r="CM33" i="13"/>
  <c r="CM34" i="13"/>
  <c r="CM35" i="13"/>
  <c r="CL32" i="13"/>
  <c r="CL33" i="13"/>
  <c r="CL34" i="13"/>
  <c r="CL35" i="13"/>
  <c r="CK32" i="13"/>
  <c r="CK33" i="13"/>
  <c r="CK34" i="13"/>
  <c r="CK35" i="13"/>
  <c r="CJ32" i="13"/>
  <c r="CJ33" i="13"/>
  <c r="CJ34" i="13"/>
  <c r="CJ35" i="13"/>
  <c r="CI32" i="13"/>
  <c r="CI33" i="13"/>
  <c r="CI34" i="13"/>
  <c r="CI35" i="13"/>
  <c r="CH32" i="13"/>
  <c r="CH33" i="13"/>
  <c r="CH34" i="13"/>
  <c r="CH35" i="13"/>
  <c r="CG32" i="13"/>
  <c r="CG33" i="13"/>
  <c r="CG34" i="13"/>
  <c r="CG35" i="13"/>
  <c r="CF32" i="13"/>
  <c r="CF33" i="13"/>
  <c r="CF34" i="13"/>
  <c r="CF35" i="13"/>
  <c r="CE32" i="13"/>
  <c r="CE33" i="13"/>
  <c r="CE34" i="13"/>
  <c r="CE35" i="13"/>
  <c r="CD32" i="13"/>
  <c r="CD33" i="13"/>
  <c r="CD34" i="13"/>
  <c r="CD35" i="13"/>
  <c r="CC32" i="13"/>
  <c r="CC33" i="13"/>
  <c r="CC34" i="13"/>
  <c r="CC35" i="13"/>
  <c r="CB32" i="13"/>
  <c r="CB33" i="13"/>
  <c r="CB34" i="13"/>
  <c r="CB35" i="13"/>
  <c r="CA32" i="13"/>
  <c r="CA33" i="13"/>
  <c r="CA34" i="13"/>
  <c r="CA35" i="13"/>
  <c r="BZ32" i="13"/>
  <c r="BZ33" i="13"/>
  <c r="BZ34" i="13"/>
  <c r="BZ35" i="13"/>
  <c r="BY32" i="13"/>
  <c r="BY33" i="13"/>
  <c r="BY34" i="13"/>
  <c r="BY35" i="13"/>
  <c r="BX32" i="13"/>
  <c r="BX33" i="13"/>
  <c r="BX34" i="13"/>
  <c r="BX35" i="13"/>
  <c r="BW32" i="13"/>
  <c r="BW33" i="13"/>
  <c r="BW34" i="13"/>
  <c r="BW35" i="13"/>
  <c r="BV32" i="13"/>
  <c r="BV33" i="13"/>
  <c r="BV34" i="13"/>
  <c r="BV35" i="13"/>
  <c r="BU32" i="13"/>
  <c r="BU33" i="13"/>
  <c r="BU34" i="13"/>
  <c r="BU35" i="13"/>
  <c r="BT32" i="13"/>
  <c r="BT33" i="13"/>
  <c r="BT34" i="13"/>
  <c r="BT35" i="13"/>
  <c r="BS32" i="13"/>
  <c r="BS33" i="13"/>
  <c r="BS34" i="13"/>
  <c r="BS35" i="13"/>
  <c r="BR32" i="13"/>
  <c r="BR33" i="13"/>
  <c r="BR34" i="13"/>
  <c r="BR35" i="13"/>
  <c r="BQ32" i="13"/>
  <c r="BQ33" i="13"/>
  <c r="BQ34" i="13"/>
  <c r="BQ35" i="13"/>
  <c r="BP32" i="13"/>
  <c r="BP33" i="13"/>
  <c r="BP34" i="13"/>
  <c r="BP35" i="13"/>
  <c r="BO32" i="13"/>
  <c r="BO33" i="13"/>
  <c r="BO34" i="13"/>
  <c r="BO35" i="13"/>
  <c r="BN32" i="13"/>
  <c r="BN33" i="13"/>
  <c r="BN34" i="13"/>
  <c r="BN35" i="13"/>
  <c r="BM32" i="13"/>
  <c r="BM33" i="13"/>
  <c r="BM34" i="13"/>
  <c r="BM35" i="13"/>
  <c r="BL32" i="13"/>
  <c r="BL33" i="13"/>
  <c r="BL34" i="13"/>
  <c r="BL35" i="13"/>
  <c r="BK32" i="13"/>
  <c r="BK33" i="13"/>
  <c r="BK34" i="13"/>
  <c r="BK35" i="13"/>
  <c r="BJ32" i="13"/>
  <c r="BJ33" i="13"/>
  <c r="BJ34" i="13"/>
  <c r="BJ35" i="13"/>
  <c r="BI32" i="13"/>
  <c r="BI33" i="13"/>
  <c r="BI34" i="13"/>
  <c r="BI35" i="13"/>
  <c r="BH32" i="13"/>
  <c r="BH33" i="13"/>
  <c r="BH34" i="13"/>
  <c r="BH35" i="13"/>
  <c r="BG32" i="13"/>
  <c r="BG33" i="13"/>
  <c r="BG34" i="13"/>
  <c r="BG35" i="13"/>
  <c r="BF32" i="13"/>
  <c r="BF33" i="13"/>
  <c r="BF34" i="13"/>
  <c r="BF35" i="13"/>
  <c r="BE32" i="13"/>
  <c r="BE33" i="13"/>
  <c r="BE34" i="13"/>
  <c r="BE35" i="13"/>
  <c r="BD32" i="13"/>
  <c r="BD33" i="13"/>
  <c r="BD34" i="13"/>
  <c r="BD35" i="13"/>
  <c r="BC32" i="13"/>
  <c r="BC33" i="13"/>
  <c r="BC34" i="13"/>
  <c r="BC35" i="13"/>
  <c r="BB32" i="13"/>
  <c r="BB33" i="13"/>
  <c r="BB34" i="13"/>
  <c r="BB35" i="13"/>
  <c r="BA32" i="13"/>
  <c r="BA33" i="13"/>
  <c r="BA34" i="13"/>
  <c r="BA35" i="13"/>
  <c r="AZ32" i="13"/>
  <c r="AZ33" i="13"/>
  <c r="AZ34" i="13"/>
  <c r="AZ35" i="13"/>
  <c r="AY32" i="13"/>
  <c r="AY33" i="13"/>
  <c r="AY34" i="13"/>
  <c r="AY35" i="13"/>
  <c r="AX32" i="13"/>
  <c r="AX33" i="13"/>
  <c r="AX34" i="13"/>
  <c r="AX35" i="13"/>
  <c r="AW32" i="13"/>
  <c r="AW33" i="13"/>
  <c r="AW34" i="13"/>
  <c r="AW35" i="13"/>
  <c r="AV32" i="13"/>
  <c r="AV33" i="13"/>
  <c r="AV34" i="13"/>
  <c r="AV35" i="13"/>
  <c r="AU32" i="13"/>
  <c r="AU33" i="13"/>
  <c r="AU34" i="13"/>
  <c r="AU35" i="13"/>
  <c r="AT32" i="13"/>
  <c r="AT33" i="13"/>
  <c r="AT34" i="13"/>
  <c r="AT35" i="13"/>
  <c r="AS32" i="13"/>
  <c r="AS33" i="13"/>
  <c r="AS34" i="13"/>
  <c r="AS35" i="13"/>
  <c r="AR32" i="13"/>
  <c r="AR33" i="13"/>
  <c r="AR34" i="13"/>
  <c r="AR35" i="13"/>
  <c r="AQ32" i="13"/>
  <c r="AQ33" i="13"/>
  <c r="AQ34" i="13"/>
  <c r="AQ35" i="13"/>
  <c r="AP32" i="13"/>
  <c r="AP33" i="13"/>
  <c r="AP34" i="13"/>
  <c r="AP35" i="13"/>
  <c r="AO32" i="13"/>
  <c r="AO33" i="13"/>
  <c r="AO34" i="13"/>
  <c r="AO35" i="13"/>
  <c r="AN32" i="13"/>
  <c r="AN33" i="13"/>
  <c r="AN34" i="13"/>
  <c r="AN35" i="13"/>
  <c r="AM32" i="13"/>
  <c r="AM33" i="13"/>
  <c r="AM34" i="13"/>
  <c r="AM35" i="13"/>
  <c r="AL32" i="13"/>
  <c r="AL33" i="13"/>
  <c r="AL34" i="13"/>
  <c r="AL35" i="13"/>
  <c r="AK32" i="13"/>
  <c r="AK33" i="13"/>
  <c r="AK34" i="13"/>
  <c r="AK35" i="13"/>
  <c r="AJ32" i="13"/>
  <c r="AJ33" i="13"/>
  <c r="AJ34" i="13"/>
  <c r="AJ35" i="13"/>
  <c r="AI32" i="13"/>
  <c r="AI33" i="13"/>
  <c r="AI34" i="13"/>
  <c r="AI35" i="13"/>
  <c r="AH32" i="13"/>
  <c r="AH33" i="13"/>
  <c r="AH34" i="13"/>
  <c r="AH35" i="13"/>
  <c r="AG32" i="13"/>
  <c r="AG33" i="13"/>
  <c r="AG34" i="13"/>
  <c r="AG35" i="13"/>
  <c r="AF32" i="13"/>
  <c r="AF33" i="13"/>
  <c r="AF34" i="13"/>
  <c r="AF35" i="13"/>
  <c r="AE32" i="13"/>
  <c r="AE33" i="13"/>
  <c r="AE34" i="13"/>
  <c r="AE35" i="13"/>
  <c r="AD32" i="13"/>
  <c r="AD33" i="13"/>
  <c r="AD34" i="13"/>
  <c r="AD35" i="13"/>
  <c r="AC32" i="13"/>
  <c r="AC33" i="13"/>
  <c r="AC34" i="13"/>
  <c r="AC35" i="13"/>
  <c r="AB32" i="13"/>
  <c r="AB33" i="13"/>
  <c r="AB34" i="13"/>
  <c r="AB35" i="13"/>
  <c r="AA32" i="13"/>
  <c r="AA33" i="13"/>
  <c r="AA34" i="13"/>
  <c r="AA35" i="13"/>
  <c r="Z32" i="13"/>
  <c r="Z33" i="13"/>
  <c r="Z34" i="13"/>
  <c r="Z35" i="13"/>
  <c r="Y32" i="13"/>
  <c r="Y33" i="13"/>
  <c r="Y34" i="13"/>
  <c r="Y35" i="13"/>
  <c r="X32" i="13"/>
  <c r="X33" i="13"/>
  <c r="X34" i="13"/>
  <c r="X35" i="13"/>
  <c r="W32" i="13"/>
  <c r="W33" i="13"/>
  <c r="W34" i="13"/>
  <c r="W35" i="13"/>
  <c r="V32" i="13"/>
  <c r="V33" i="13"/>
  <c r="V34" i="13"/>
  <c r="V35" i="13"/>
  <c r="U32" i="13"/>
  <c r="U33" i="13"/>
  <c r="U34" i="13"/>
  <c r="U35" i="13"/>
  <c r="T32" i="13"/>
  <c r="T33" i="13"/>
  <c r="T34" i="13"/>
  <c r="T35" i="13"/>
  <c r="S32" i="13"/>
  <c r="S33" i="13"/>
  <c r="S34" i="13"/>
  <c r="S35" i="13"/>
  <c r="R32" i="13"/>
  <c r="R33" i="13"/>
  <c r="R34" i="13"/>
  <c r="R35" i="13"/>
  <c r="Q32" i="13"/>
  <c r="Q33" i="13"/>
  <c r="Q34" i="13"/>
  <c r="Q35" i="13"/>
  <c r="P32" i="13"/>
  <c r="P33" i="13"/>
  <c r="P34" i="13"/>
  <c r="P35" i="13"/>
  <c r="O32" i="13"/>
  <c r="O33" i="13"/>
  <c r="O34" i="13"/>
  <c r="O35" i="13"/>
  <c r="N32" i="13"/>
  <c r="N33" i="13"/>
  <c r="N34" i="13"/>
  <c r="N35" i="13"/>
  <c r="M32" i="13"/>
  <c r="M33" i="13"/>
  <c r="M34" i="13"/>
  <c r="M35" i="13"/>
  <c r="L32" i="13"/>
  <c r="L33" i="13"/>
  <c r="L34" i="13"/>
  <c r="L35" i="13"/>
  <c r="K32" i="13"/>
  <c r="K33" i="13"/>
  <c r="K34" i="13"/>
  <c r="K35" i="13"/>
  <c r="J32" i="13"/>
  <c r="J33" i="13"/>
  <c r="J34" i="13"/>
  <c r="J35" i="13"/>
  <c r="I32" i="13"/>
  <c r="I33" i="13"/>
  <c r="I34" i="13"/>
  <c r="I35" i="13"/>
  <c r="H32" i="13"/>
  <c r="H33" i="13"/>
  <c r="H34" i="13"/>
  <c r="H35" i="13"/>
  <c r="G35" i="13"/>
  <c r="G34" i="13"/>
  <c r="G33" i="13"/>
  <c r="G32" i="13"/>
  <c r="G31" i="13"/>
  <c r="G30" i="13"/>
  <c r="G29" i="13"/>
  <c r="G28" i="13"/>
  <c r="G27" i="13"/>
  <c r="G26" i="13"/>
  <c r="G25" i="13"/>
  <c r="G17" i="13"/>
  <c r="DC16" i="13"/>
  <c r="DB16" i="13"/>
  <c r="DA16" i="13"/>
  <c r="CZ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G15" i="13"/>
  <c r="G14" i="13"/>
  <c r="G13" i="13"/>
  <c r="G12" i="13"/>
  <c r="G11" i="13"/>
  <c r="G10" i="13"/>
  <c r="G9" i="13"/>
  <c r="G8" i="13"/>
  <c r="G7" i="13"/>
  <c r="G6" i="13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4" i="41"/>
  <c r="N86" i="41"/>
  <c r="N87" i="41"/>
  <c r="N88" i="41"/>
  <c r="N89" i="41"/>
  <c r="N90" i="41"/>
  <c r="N91" i="41"/>
  <c r="N92" i="41"/>
  <c r="N94" i="41"/>
  <c r="N96" i="41"/>
  <c r="N97" i="41"/>
  <c r="N98" i="41"/>
  <c r="N99" i="41"/>
  <c r="N100" i="41"/>
  <c r="N101" i="41"/>
  <c r="N104" i="41"/>
  <c r="N106" i="41"/>
  <c r="N107" i="41"/>
  <c r="N108" i="41"/>
  <c r="N109" i="41"/>
  <c r="N111" i="41"/>
  <c r="N112" i="41"/>
  <c r="N113" i="41"/>
  <c r="N114" i="41"/>
  <c r="N115" i="41"/>
  <c r="N116" i="41"/>
  <c r="N118" i="41"/>
  <c r="N119" i="41"/>
  <c r="N120" i="41"/>
  <c r="N121" i="41"/>
  <c r="N122" i="41"/>
  <c r="N123" i="41"/>
  <c r="M82" i="41"/>
  <c r="M91" i="41"/>
  <c r="M92" i="41"/>
  <c r="M99" i="41"/>
  <c r="M100" i="41"/>
  <c r="M101" i="41"/>
  <c r="M109" i="41"/>
  <c r="M114" i="41"/>
  <c r="M115" i="41"/>
  <c r="M116" i="41"/>
  <c r="M121" i="41"/>
  <c r="M122" i="41"/>
  <c r="M123" i="41"/>
  <c r="L82" i="41"/>
  <c r="L91" i="41"/>
  <c r="L92" i="41"/>
  <c r="L99" i="41"/>
  <c r="L100" i="41"/>
  <c r="L101" i="41"/>
  <c r="L109" i="41"/>
  <c r="L114" i="41"/>
  <c r="L115" i="41"/>
  <c r="L116" i="41"/>
  <c r="L121" i="41"/>
  <c r="L122" i="41"/>
  <c r="L123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6" i="41"/>
  <c r="K87" i="41"/>
  <c r="K88" i="41"/>
  <c r="K89" i="41"/>
  <c r="K90" i="41"/>
  <c r="K91" i="41"/>
  <c r="K92" i="41"/>
  <c r="K96" i="41"/>
  <c r="K97" i="41"/>
  <c r="K98" i="41"/>
  <c r="K99" i="41"/>
  <c r="K100" i="41"/>
  <c r="K101" i="41"/>
  <c r="K106" i="41"/>
  <c r="K107" i="41"/>
  <c r="K108" i="41"/>
  <c r="K109" i="41"/>
  <c r="K111" i="41"/>
  <c r="K112" i="41"/>
  <c r="K113" i="41"/>
  <c r="K114" i="41"/>
  <c r="K115" i="41"/>
  <c r="K116" i="41"/>
  <c r="K118" i="41"/>
  <c r="K119" i="41"/>
  <c r="K120" i="41"/>
  <c r="K121" i="41"/>
  <c r="K122" i="41"/>
  <c r="K123" i="41"/>
  <c r="V85" i="41"/>
  <c r="R85" i="41"/>
  <c r="V84" i="41"/>
  <c r="R84" i="41"/>
  <c r="Y61" i="41"/>
  <c r="Y62" i="41"/>
  <c r="Y63" i="41"/>
  <c r="Y64" i="41"/>
  <c r="Y65" i="41"/>
  <c r="Y66" i="41"/>
  <c r="Y67" i="41"/>
  <c r="Y68" i="41"/>
  <c r="Y69" i="41"/>
  <c r="Y70" i="41"/>
  <c r="Y71" i="41"/>
  <c r="Y72" i="41"/>
  <c r="Y73" i="41"/>
  <c r="Y74" i="41"/>
  <c r="Y75" i="41"/>
  <c r="Y76" i="41"/>
  <c r="Y77" i="41"/>
  <c r="Y78" i="41"/>
  <c r="Y79" i="41"/>
  <c r="Y80" i="41"/>
  <c r="Y81" i="41"/>
  <c r="Y82" i="41"/>
  <c r="X61" i="41"/>
  <c r="X62" i="41"/>
  <c r="X63" i="41"/>
  <c r="X64" i="41"/>
  <c r="X65" i="41"/>
  <c r="X66" i="41"/>
  <c r="X67" i="41"/>
  <c r="X68" i="41"/>
  <c r="X69" i="41"/>
  <c r="X70" i="41"/>
  <c r="X71" i="41"/>
  <c r="X72" i="41"/>
  <c r="X73" i="41"/>
  <c r="X74" i="41"/>
  <c r="X75" i="41"/>
  <c r="X76" i="41"/>
  <c r="X77" i="41"/>
  <c r="X78" i="41"/>
  <c r="X79" i="41"/>
  <c r="X80" i="41"/>
  <c r="X81" i="41"/>
  <c r="X82" i="41"/>
  <c r="V81" i="41"/>
  <c r="W81" i="41"/>
  <c r="Q81" i="41"/>
  <c r="V80" i="41"/>
  <c r="W80" i="41"/>
  <c r="Q80" i="41"/>
  <c r="P80" i="41"/>
  <c r="V79" i="41"/>
  <c r="W79" i="41"/>
  <c r="Q79" i="41"/>
  <c r="P79" i="41"/>
  <c r="V78" i="41"/>
  <c r="W78" i="41"/>
  <c r="Q78" i="41"/>
  <c r="P78" i="41"/>
  <c r="V77" i="41"/>
  <c r="W77" i="41"/>
  <c r="Q77" i="41"/>
  <c r="P77" i="41"/>
  <c r="V76" i="41"/>
  <c r="W76" i="41"/>
  <c r="Q76" i="41"/>
  <c r="P76" i="41"/>
  <c r="V75" i="41"/>
  <c r="W75" i="41"/>
  <c r="Q75" i="41"/>
  <c r="P75" i="41"/>
  <c r="V74" i="41"/>
  <c r="W74" i="41"/>
  <c r="Q74" i="41"/>
  <c r="P74" i="41"/>
  <c r="V73" i="41"/>
  <c r="W73" i="41"/>
  <c r="Q73" i="41"/>
  <c r="P73" i="41"/>
  <c r="V72" i="41"/>
  <c r="W72" i="41"/>
  <c r="Q72" i="41"/>
  <c r="P72" i="41"/>
  <c r="V71" i="41"/>
  <c r="W71" i="41"/>
  <c r="Q71" i="41"/>
  <c r="P71" i="41"/>
  <c r="V70" i="41"/>
  <c r="W70" i="41"/>
  <c r="Q70" i="41"/>
  <c r="P70" i="41"/>
  <c r="V69" i="41"/>
  <c r="W69" i="41"/>
  <c r="Q69" i="41"/>
  <c r="P69" i="41"/>
  <c r="V68" i="41"/>
  <c r="W68" i="41"/>
  <c r="Q68" i="41"/>
  <c r="P68" i="41"/>
  <c r="V67" i="41"/>
  <c r="W67" i="41"/>
  <c r="Q67" i="41"/>
  <c r="P67" i="41"/>
  <c r="V66" i="41"/>
  <c r="W66" i="41"/>
  <c r="Q66" i="41"/>
  <c r="P66" i="41"/>
  <c r="V65" i="41"/>
  <c r="W65" i="41"/>
  <c r="Q65" i="41"/>
  <c r="P65" i="41"/>
  <c r="V64" i="41"/>
  <c r="W64" i="41"/>
  <c r="Q64" i="41"/>
  <c r="P64" i="41"/>
  <c r="V63" i="41"/>
  <c r="W63" i="41"/>
  <c r="Q63" i="41"/>
  <c r="P63" i="41"/>
  <c r="V62" i="41"/>
  <c r="W62" i="41"/>
  <c r="Q62" i="41"/>
  <c r="P62" i="41"/>
  <c r="V61" i="41"/>
  <c r="W61" i="41"/>
  <c r="Q61" i="41"/>
  <c r="P61" i="41"/>
  <c r="P60" i="41"/>
  <c r="P57" i="41"/>
  <c r="N27" i="41"/>
  <c r="N38" i="41"/>
  <c r="N39" i="41"/>
  <c r="N53" i="41"/>
  <c r="N46" i="41"/>
  <c r="L54" i="22"/>
  <c r="N47" i="41"/>
  <c r="N48" i="41"/>
  <c r="N54" i="41"/>
  <c r="N55" i="41"/>
  <c r="M39" i="41"/>
  <c r="M54" i="41"/>
  <c r="M55" i="41"/>
  <c r="L39" i="41"/>
  <c r="L54" i="41"/>
  <c r="L55" i="41"/>
  <c r="K39" i="41"/>
  <c r="K55" i="41"/>
  <c r="V26" i="41"/>
  <c r="W26" i="41"/>
  <c r="Q26" i="41"/>
  <c r="V25" i="41"/>
  <c r="W25" i="41"/>
  <c r="Q25" i="41"/>
  <c r="P25" i="41"/>
  <c r="V24" i="41"/>
  <c r="W24" i="41"/>
  <c r="Q24" i="41"/>
  <c r="P24" i="41"/>
  <c r="V23" i="41"/>
  <c r="W23" i="41"/>
  <c r="Q23" i="41"/>
  <c r="P23" i="41"/>
  <c r="V22" i="41"/>
  <c r="W22" i="41"/>
  <c r="Q22" i="41"/>
  <c r="P22" i="41"/>
  <c r="V21" i="41"/>
  <c r="W21" i="41"/>
  <c r="Q21" i="41"/>
  <c r="P21" i="41"/>
  <c r="V20" i="41"/>
  <c r="W20" i="41"/>
  <c r="Q20" i="41"/>
  <c r="P20" i="41"/>
  <c r="V19" i="41"/>
  <c r="W19" i="41"/>
  <c r="Q19" i="41"/>
  <c r="P19" i="41"/>
  <c r="V18" i="41"/>
  <c r="W18" i="41"/>
  <c r="Q18" i="41"/>
  <c r="P18" i="41"/>
  <c r="V17" i="41"/>
  <c r="W17" i="41"/>
  <c r="Q17" i="41"/>
  <c r="P17" i="41"/>
  <c r="V16" i="41"/>
  <c r="W16" i="41"/>
  <c r="Q16" i="41"/>
  <c r="P16" i="41"/>
  <c r="V15" i="41"/>
  <c r="W15" i="41"/>
  <c r="Q15" i="41"/>
  <c r="P15" i="41"/>
  <c r="V14" i="41"/>
  <c r="W14" i="41"/>
  <c r="Q14" i="41"/>
  <c r="P14" i="41"/>
  <c r="V13" i="41"/>
  <c r="W13" i="41"/>
  <c r="Q13" i="41"/>
  <c r="P13" i="41"/>
  <c r="V12" i="41"/>
  <c r="W12" i="41"/>
  <c r="Q12" i="41"/>
  <c r="P12" i="41"/>
  <c r="V11" i="41"/>
  <c r="W11" i="41"/>
  <c r="Q11" i="41"/>
  <c r="P11" i="41"/>
  <c r="V10" i="41"/>
  <c r="W10" i="41"/>
  <c r="Q10" i="41"/>
  <c r="P10" i="41"/>
  <c r="V9" i="41"/>
  <c r="W9" i="41"/>
  <c r="Q9" i="41"/>
  <c r="P9" i="41"/>
  <c r="V8" i="41"/>
  <c r="W8" i="41"/>
  <c r="Q8" i="41"/>
  <c r="P8" i="41"/>
  <c r="Q7" i="41"/>
  <c r="P7" i="41"/>
  <c r="V6" i="41"/>
  <c r="W6" i="41"/>
  <c r="Q6" i="41"/>
  <c r="P6" i="41"/>
  <c r="P5" i="41"/>
  <c r="P2" i="41"/>
  <c r="DC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71" i="8"/>
  <c r="G100" i="8"/>
  <c r="G99" i="8"/>
  <c r="DC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73" i="8"/>
  <c r="G98" i="8"/>
  <c r="G97" i="8"/>
  <c r="DC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42" i="8"/>
  <c r="G92" i="8"/>
  <c r="G93" i="8"/>
  <c r="DC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41" i="8"/>
  <c r="G90" i="8"/>
  <c r="G91" i="8"/>
  <c r="G89" i="8"/>
  <c r="G88" i="8"/>
  <c r="G87" i="8"/>
  <c r="G86" i="8"/>
  <c r="G85" i="8"/>
  <c r="G84" i="8"/>
  <c r="G82" i="8"/>
  <c r="G81" i="8"/>
  <c r="G80" i="8"/>
  <c r="G79" i="8"/>
  <c r="DC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21" i="8"/>
  <c r="G74" i="8"/>
  <c r="DC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20" i="8"/>
  <c r="G72" i="8"/>
  <c r="G70" i="8"/>
  <c r="G69" i="8"/>
  <c r="G68" i="8"/>
  <c r="G67" i="8"/>
  <c r="G66" i="8"/>
  <c r="G65" i="8"/>
  <c r="G62" i="8"/>
  <c r="G61" i="8"/>
  <c r="G60" i="8"/>
  <c r="G46" i="8"/>
  <c r="G48" i="8"/>
  <c r="DC49" i="8"/>
  <c r="DB49" i="8"/>
  <c r="DA49" i="8"/>
  <c r="CZ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G40" i="8"/>
  <c r="DC36" i="8"/>
  <c r="DC37" i="8"/>
  <c r="DC38" i="8"/>
  <c r="DC39" i="8"/>
  <c r="DB36" i="8"/>
  <c r="DB37" i="8"/>
  <c r="DB38" i="8"/>
  <c r="DB39" i="8"/>
  <c r="DA36" i="8"/>
  <c r="DA37" i="8"/>
  <c r="DA38" i="8"/>
  <c r="DA39" i="8"/>
  <c r="CZ36" i="8"/>
  <c r="CZ37" i="8"/>
  <c r="CZ38" i="8"/>
  <c r="CZ39" i="8"/>
  <c r="CY36" i="8"/>
  <c r="CY37" i="8"/>
  <c r="CY38" i="8"/>
  <c r="CY39" i="8"/>
  <c r="CX36" i="8"/>
  <c r="CX37" i="8"/>
  <c r="CX38" i="8"/>
  <c r="CX39" i="8"/>
  <c r="CW36" i="8"/>
  <c r="CW37" i="8"/>
  <c r="CW38" i="8"/>
  <c r="CW39" i="8"/>
  <c r="CV36" i="8"/>
  <c r="CV37" i="8"/>
  <c r="CV38" i="8"/>
  <c r="CV39" i="8"/>
  <c r="CU36" i="8"/>
  <c r="CU37" i="8"/>
  <c r="CU38" i="8"/>
  <c r="CU39" i="8"/>
  <c r="CT36" i="8"/>
  <c r="CT37" i="8"/>
  <c r="CT38" i="8"/>
  <c r="CT39" i="8"/>
  <c r="CS36" i="8"/>
  <c r="CS37" i="8"/>
  <c r="CS38" i="8"/>
  <c r="CS39" i="8"/>
  <c r="CR36" i="8"/>
  <c r="CR37" i="8"/>
  <c r="CR38" i="8"/>
  <c r="CR39" i="8"/>
  <c r="CQ36" i="8"/>
  <c r="CQ37" i="8"/>
  <c r="CQ38" i="8"/>
  <c r="CQ39" i="8"/>
  <c r="CP36" i="8"/>
  <c r="CP37" i="8"/>
  <c r="CP38" i="8"/>
  <c r="CP39" i="8"/>
  <c r="CO36" i="8"/>
  <c r="CO37" i="8"/>
  <c r="CO38" i="8"/>
  <c r="CO39" i="8"/>
  <c r="CN36" i="8"/>
  <c r="CN37" i="8"/>
  <c r="CN38" i="8"/>
  <c r="CN39" i="8"/>
  <c r="CM36" i="8"/>
  <c r="CM37" i="8"/>
  <c r="CM38" i="8"/>
  <c r="CM39" i="8"/>
  <c r="CL36" i="8"/>
  <c r="CL37" i="8"/>
  <c r="CL38" i="8"/>
  <c r="CL39" i="8"/>
  <c r="CK36" i="8"/>
  <c r="CK37" i="8"/>
  <c r="CK38" i="8"/>
  <c r="CK39" i="8"/>
  <c r="CJ36" i="8"/>
  <c r="CJ37" i="8"/>
  <c r="CJ38" i="8"/>
  <c r="CJ39" i="8"/>
  <c r="CI36" i="8"/>
  <c r="CI37" i="8"/>
  <c r="CI38" i="8"/>
  <c r="CI39" i="8"/>
  <c r="CH36" i="8"/>
  <c r="CH37" i="8"/>
  <c r="CH38" i="8"/>
  <c r="CH39" i="8"/>
  <c r="CG36" i="8"/>
  <c r="CG37" i="8"/>
  <c r="CG38" i="8"/>
  <c r="CG39" i="8"/>
  <c r="CF36" i="8"/>
  <c r="CF37" i="8"/>
  <c r="CF38" i="8"/>
  <c r="CF39" i="8"/>
  <c r="CE36" i="8"/>
  <c r="CE37" i="8"/>
  <c r="CE38" i="8"/>
  <c r="CE39" i="8"/>
  <c r="CD36" i="8"/>
  <c r="CD37" i="8"/>
  <c r="CD38" i="8"/>
  <c r="CD39" i="8"/>
  <c r="CC36" i="8"/>
  <c r="CC37" i="8"/>
  <c r="CC38" i="8"/>
  <c r="CC39" i="8"/>
  <c r="CB36" i="8"/>
  <c r="CB37" i="8"/>
  <c r="CB38" i="8"/>
  <c r="CB39" i="8"/>
  <c r="CA36" i="8"/>
  <c r="CA37" i="8"/>
  <c r="CA38" i="8"/>
  <c r="CA39" i="8"/>
  <c r="BZ36" i="8"/>
  <c r="BZ37" i="8"/>
  <c r="BZ38" i="8"/>
  <c r="BZ39" i="8"/>
  <c r="BY36" i="8"/>
  <c r="BY37" i="8"/>
  <c r="BY38" i="8"/>
  <c r="BY39" i="8"/>
  <c r="BX36" i="8"/>
  <c r="BX37" i="8"/>
  <c r="BX38" i="8"/>
  <c r="BX39" i="8"/>
  <c r="BW36" i="8"/>
  <c r="BW37" i="8"/>
  <c r="BW38" i="8"/>
  <c r="BW39" i="8"/>
  <c r="BV36" i="8"/>
  <c r="BV37" i="8"/>
  <c r="BV38" i="8"/>
  <c r="BV39" i="8"/>
  <c r="BU36" i="8"/>
  <c r="BU37" i="8"/>
  <c r="BU38" i="8"/>
  <c r="BU39" i="8"/>
  <c r="BT36" i="8"/>
  <c r="BT37" i="8"/>
  <c r="BT38" i="8"/>
  <c r="BT39" i="8"/>
  <c r="BS36" i="8"/>
  <c r="BS37" i="8"/>
  <c r="BS38" i="8"/>
  <c r="BS39" i="8"/>
  <c r="BR36" i="8"/>
  <c r="BR37" i="8"/>
  <c r="BR38" i="8"/>
  <c r="BR39" i="8"/>
  <c r="BQ36" i="8"/>
  <c r="BQ37" i="8"/>
  <c r="BQ38" i="8"/>
  <c r="BQ39" i="8"/>
  <c r="BP36" i="8"/>
  <c r="BP37" i="8"/>
  <c r="BP38" i="8"/>
  <c r="BP39" i="8"/>
  <c r="BO36" i="8"/>
  <c r="BO37" i="8"/>
  <c r="BO38" i="8"/>
  <c r="BO39" i="8"/>
  <c r="BN36" i="8"/>
  <c r="BN37" i="8"/>
  <c r="BN38" i="8"/>
  <c r="BN39" i="8"/>
  <c r="BM36" i="8"/>
  <c r="BM37" i="8"/>
  <c r="BM38" i="8"/>
  <c r="BM39" i="8"/>
  <c r="BL36" i="8"/>
  <c r="BL37" i="8"/>
  <c r="BL38" i="8"/>
  <c r="BL39" i="8"/>
  <c r="BK36" i="8"/>
  <c r="BK37" i="8"/>
  <c r="BK38" i="8"/>
  <c r="BK39" i="8"/>
  <c r="BJ36" i="8"/>
  <c r="BJ37" i="8"/>
  <c r="BJ38" i="8"/>
  <c r="BJ39" i="8"/>
  <c r="BI36" i="8"/>
  <c r="BI37" i="8"/>
  <c r="BI38" i="8"/>
  <c r="BI39" i="8"/>
  <c r="BH36" i="8"/>
  <c r="BH37" i="8"/>
  <c r="BH38" i="8"/>
  <c r="BH39" i="8"/>
  <c r="BG36" i="8"/>
  <c r="BG37" i="8"/>
  <c r="BG38" i="8"/>
  <c r="BG39" i="8"/>
  <c r="BF36" i="8"/>
  <c r="BF37" i="8"/>
  <c r="BF38" i="8"/>
  <c r="BF39" i="8"/>
  <c r="BE36" i="8"/>
  <c r="BE37" i="8"/>
  <c r="BE38" i="8"/>
  <c r="BE39" i="8"/>
  <c r="BD36" i="8"/>
  <c r="BD37" i="8"/>
  <c r="BD38" i="8"/>
  <c r="BD39" i="8"/>
  <c r="BC36" i="8"/>
  <c r="BC37" i="8"/>
  <c r="BC38" i="8"/>
  <c r="BC39" i="8"/>
  <c r="BB36" i="8"/>
  <c r="BB37" i="8"/>
  <c r="BB38" i="8"/>
  <c r="BB39" i="8"/>
  <c r="BA36" i="8"/>
  <c r="BA37" i="8"/>
  <c r="BA38" i="8"/>
  <c r="BA39" i="8"/>
  <c r="AZ36" i="8"/>
  <c r="AZ37" i="8"/>
  <c r="AZ38" i="8"/>
  <c r="AZ39" i="8"/>
  <c r="AY36" i="8"/>
  <c r="AY37" i="8"/>
  <c r="AY38" i="8"/>
  <c r="AY39" i="8"/>
  <c r="AX36" i="8"/>
  <c r="AX37" i="8"/>
  <c r="AX38" i="8"/>
  <c r="AX39" i="8"/>
  <c r="AW36" i="8"/>
  <c r="AW37" i="8"/>
  <c r="AW38" i="8"/>
  <c r="AW39" i="8"/>
  <c r="AV36" i="8"/>
  <c r="AV37" i="8"/>
  <c r="AV38" i="8"/>
  <c r="AV39" i="8"/>
  <c r="AU36" i="8"/>
  <c r="AU37" i="8"/>
  <c r="AU38" i="8"/>
  <c r="AU39" i="8"/>
  <c r="AT36" i="8"/>
  <c r="AT37" i="8"/>
  <c r="AT38" i="8"/>
  <c r="AT39" i="8"/>
  <c r="AS36" i="8"/>
  <c r="AS37" i="8"/>
  <c r="AS38" i="8"/>
  <c r="AS39" i="8"/>
  <c r="AR36" i="8"/>
  <c r="AR37" i="8"/>
  <c r="AR38" i="8"/>
  <c r="AR39" i="8"/>
  <c r="AQ36" i="8"/>
  <c r="AQ37" i="8"/>
  <c r="AQ38" i="8"/>
  <c r="AQ39" i="8"/>
  <c r="AP36" i="8"/>
  <c r="AP37" i="8"/>
  <c r="AP38" i="8"/>
  <c r="AP39" i="8"/>
  <c r="AO36" i="8"/>
  <c r="AO37" i="8"/>
  <c r="AO38" i="8"/>
  <c r="AO39" i="8"/>
  <c r="AN36" i="8"/>
  <c r="AN37" i="8"/>
  <c r="AN38" i="8"/>
  <c r="AN39" i="8"/>
  <c r="AM36" i="8"/>
  <c r="AM37" i="8"/>
  <c r="AM38" i="8"/>
  <c r="AM39" i="8"/>
  <c r="AL36" i="8"/>
  <c r="AL37" i="8"/>
  <c r="AL38" i="8"/>
  <c r="AL39" i="8"/>
  <c r="AK36" i="8"/>
  <c r="AK37" i="8"/>
  <c r="AK38" i="8"/>
  <c r="AK39" i="8"/>
  <c r="AJ36" i="8"/>
  <c r="AJ37" i="8"/>
  <c r="AJ38" i="8"/>
  <c r="AJ39" i="8"/>
  <c r="AI36" i="8"/>
  <c r="AI37" i="8"/>
  <c r="AI38" i="8"/>
  <c r="AI39" i="8"/>
  <c r="AH36" i="8"/>
  <c r="AH37" i="8"/>
  <c r="AH38" i="8"/>
  <c r="AH39" i="8"/>
  <c r="AG36" i="8"/>
  <c r="AG37" i="8"/>
  <c r="AG38" i="8"/>
  <c r="AG39" i="8"/>
  <c r="AF36" i="8"/>
  <c r="AF37" i="8"/>
  <c r="AF38" i="8"/>
  <c r="AF39" i="8"/>
  <c r="AE36" i="8"/>
  <c r="AE37" i="8"/>
  <c r="AE38" i="8"/>
  <c r="AE39" i="8"/>
  <c r="AD36" i="8"/>
  <c r="AD37" i="8"/>
  <c r="AD38" i="8"/>
  <c r="AD39" i="8"/>
  <c r="AC36" i="8"/>
  <c r="AC37" i="8"/>
  <c r="AC38" i="8"/>
  <c r="AC39" i="8"/>
  <c r="AB36" i="8"/>
  <c r="AB37" i="8"/>
  <c r="AB38" i="8"/>
  <c r="AB39" i="8"/>
  <c r="AA36" i="8"/>
  <c r="AA37" i="8"/>
  <c r="AA38" i="8"/>
  <c r="AA39" i="8"/>
  <c r="Z36" i="8"/>
  <c r="Z37" i="8"/>
  <c r="Z38" i="8"/>
  <c r="Z39" i="8"/>
  <c r="Y36" i="8"/>
  <c r="Y37" i="8"/>
  <c r="Y38" i="8"/>
  <c r="Y39" i="8"/>
  <c r="X36" i="8"/>
  <c r="X37" i="8"/>
  <c r="X38" i="8"/>
  <c r="X39" i="8"/>
  <c r="W36" i="8"/>
  <c r="W37" i="8"/>
  <c r="W38" i="8"/>
  <c r="W39" i="8"/>
  <c r="V36" i="8"/>
  <c r="V37" i="8"/>
  <c r="V38" i="8"/>
  <c r="V39" i="8"/>
  <c r="U36" i="8"/>
  <c r="U37" i="8"/>
  <c r="U38" i="8"/>
  <c r="U39" i="8"/>
  <c r="T36" i="8"/>
  <c r="T37" i="8"/>
  <c r="T38" i="8"/>
  <c r="T39" i="8"/>
  <c r="S36" i="8"/>
  <c r="S37" i="8"/>
  <c r="S38" i="8"/>
  <c r="S39" i="8"/>
  <c r="R36" i="8"/>
  <c r="R37" i="8"/>
  <c r="R38" i="8"/>
  <c r="R39" i="8"/>
  <c r="Q36" i="8"/>
  <c r="Q37" i="8"/>
  <c r="Q38" i="8"/>
  <c r="Q39" i="8"/>
  <c r="P36" i="8"/>
  <c r="P37" i="8"/>
  <c r="P38" i="8"/>
  <c r="P39" i="8"/>
  <c r="O36" i="8"/>
  <c r="O37" i="8"/>
  <c r="O38" i="8"/>
  <c r="O39" i="8"/>
  <c r="N36" i="8"/>
  <c r="N37" i="8"/>
  <c r="N38" i="8"/>
  <c r="N39" i="8"/>
  <c r="M36" i="8"/>
  <c r="M37" i="8"/>
  <c r="M38" i="8"/>
  <c r="M39" i="8"/>
  <c r="L36" i="8"/>
  <c r="L37" i="8"/>
  <c r="L38" i="8"/>
  <c r="L39" i="8"/>
  <c r="K36" i="8"/>
  <c r="K37" i="8"/>
  <c r="K38" i="8"/>
  <c r="K39" i="8"/>
  <c r="J36" i="8"/>
  <c r="J37" i="8"/>
  <c r="J38" i="8"/>
  <c r="J39" i="8"/>
  <c r="I36" i="8"/>
  <c r="I37" i="8"/>
  <c r="I38" i="8"/>
  <c r="I39" i="8"/>
  <c r="H36" i="8"/>
  <c r="H37" i="8"/>
  <c r="H38" i="8"/>
  <c r="H39" i="8"/>
  <c r="G39" i="8"/>
  <c r="G38" i="8"/>
  <c r="G37" i="8"/>
  <c r="G36" i="8"/>
  <c r="G35" i="8"/>
  <c r="G34" i="8"/>
  <c r="G33" i="8"/>
  <c r="G32" i="8"/>
  <c r="G31" i="8"/>
  <c r="G30" i="8"/>
  <c r="G29" i="8"/>
  <c r="G27" i="8"/>
  <c r="G19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G17" i="8"/>
  <c r="G16" i="8"/>
  <c r="G15" i="8"/>
  <c r="G14" i="8"/>
  <c r="G13" i="8"/>
  <c r="G12" i="8"/>
  <c r="G11" i="8"/>
  <c r="G10" i="8"/>
  <c r="G9" i="8"/>
  <c r="G8" i="8"/>
  <c r="G6" i="8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4" i="7"/>
  <c r="N86" i="7"/>
  <c r="N87" i="7"/>
  <c r="N88" i="7"/>
  <c r="N89" i="7"/>
  <c r="N90" i="7"/>
  <c r="N91" i="7"/>
  <c r="N92" i="7"/>
  <c r="N94" i="7"/>
  <c r="N96" i="7"/>
  <c r="N97" i="7"/>
  <c r="N98" i="7"/>
  <c r="N99" i="7"/>
  <c r="N100" i="7"/>
  <c r="N101" i="7"/>
  <c r="N104" i="7"/>
  <c r="N106" i="7"/>
  <c r="N107" i="7"/>
  <c r="N108" i="7"/>
  <c r="N109" i="7"/>
  <c r="N111" i="7"/>
  <c r="N112" i="7"/>
  <c r="N113" i="7"/>
  <c r="N114" i="7"/>
  <c r="L112" i="22"/>
  <c r="L113" i="22"/>
  <c r="L114" i="22"/>
  <c r="L115" i="22"/>
  <c r="L116" i="22"/>
  <c r="L117" i="22"/>
  <c r="L118" i="22"/>
  <c r="L119" i="22"/>
  <c r="L120" i="22"/>
  <c r="L121" i="22"/>
  <c r="L122" i="22"/>
  <c r="N115" i="7"/>
  <c r="N116" i="7"/>
  <c r="N118" i="7"/>
  <c r="N119" i="7"/>
  <c r="N120" i="7"/>
  <c r="N121" i="7"/>
  <c r="N122" i="7"/>
  <c r="N123" i="7"/>
  <c r="M82" i="7"/>
  <c r="M91" i="7"/>
  <c r="M92" i="7"/>
  <c r="M99" i="7"/>
  <c r="M100" i="7"/>
  <c r="M101" i="7"/>
  <c r="M109" i="7"/>
  <c r="M114" i="7"/>
  <c r="M115" i="7"/>
  <c r="M122" i="7"/>
  <c r="M123" i="7"/>
  <c r="L82" i="7"/>
  <c r="L91" i="7"/>
  <c r="L92" i="7"/>
  <c r="L99" i="7"/>
  <c r="L100" i="7"/>
  <c r="L101" i="7"/>
  <c r="L109" i="7"/>
  <c r="L114" i="7"/>
  <c r="L115" i="7"/>
  <c r="L122" i="7"/>
  <c r="L123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6" i="7"/>
  <c r="K87" i="7"/>
  <c r="K88" i="7"/>
  <c r="K89" i="7"/>
  <c r="K90" i="7"/>
  <c r="K91" i="7"/>
  <c r="K92" i="7"/>
  <c r="K96" i="7"/>
  <c r="K97" i="7"/>
  <c r="K98" i="7"/>
  <c r="K99" i="7"/>
  <c r="K100" i="7"/>
  <c r="K101" i="7"/>
  <c r="K106" i="7"/>
  <c r="K107" i="7"/>
  <c r="K108" i="7"/>
  <c r="K109" i="7"/>
  <c r="K111" i="7"/>
  <c r="K112" i="7"/>
  <c r="K113" i="7"/>
  <c r="K114" i="7"/>
  <c r="K112" i="22"/>
  <c r="K122" i="22"/>
  <c r="K115" i="7"/>
  <c r="K122" i="7"/>
  <c r="K123" i="7"/>
  <c r="M121" i="7"/>
  <c r="L121" i="7"/>
  <c r="K118" i="7"/>
  <c r="K119" i="7"/>
  <c r="K120" i="7"/>
  <c r="K121" i="7"/>
  <c r="M116" i="7"/>
  <c r="L116" i="7"/>
  <c r="K116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V81" i="7"/>
  <c r="W81" i="7"/>
  <c r="Q81" i="7"/>
  <c r="V80" i="7"/>
  <c r="W80" i="7"/>
  <c r="Q80" i="7"/>
  <c r="P80" i="7"/>
  <c r="V79" i="7"/>
  <c r="W79" i="7"/>
  <c r="Q79" i="7"/>
  <c r="P79" i="7"/>
  <c r="V78" i="7"/>
  <c r="W78" i="7"/>
  <c r="Q78" i="7"/>
  <c r="P78" i="7"/>
  <c r="V77" i="7"/>
  <c r="W77" i="7"/>
  <c r="Q77" i="7"/>
  <c r="P77" i="7"/>
  <c r="V76" i="7"/>
  <c r="W76" i="7"/>
  <c r="Q76" i="7"/>
  <c r="P76" i="7"/>
  <c r="V75" i="7"/>
  <c r="W75" i="7"/>
  <c r="Q75" i="7"/>
  <c r="P75" i="7"/>
  <c r="V74" i="7"/>
  <c r="W74" i="7"/>
  <c r="Q74" i="7"/>
  <c r="P74" i="7"/>
  <c r="V73" i="7"/>
  <c r="W73" i="7"/>
  <c r="Q73" i="7"/>
  <c r="P73" i="7"/>
  <c r="V72" i="7"/>
  <c r="W72" i="7"/>
  <c r="Q72" i="7"/>
  <c r="P72" i="7"/>
  <c r="V71" i="7"/>
  <c r="W71" i="7"/>
  <c r="Q71" i="7"/>
  <c r="P71" i="7"/>
  <c r="V70" i="7"/>
  <c r="W70" i="7"/>
  <c r="Q70" i="7"/>
  <c r="P70" i="7"/>
  <c r="V69" i="7"/>
  <c r="W69" i="7"/>
  <c r="Q69" i="7"/>
  <c r="P69" i="7"/>
  <c r="V68" i="7"/>
  <c r="W68" i="7"/>
  <c r="Q68" i="7"/>
  <c r="P68" i="7"/>
  <c r="V67" i="7"/>
  <c r="W67" i="7"/>
  <c r="Q67" i="7"/>
  <c r="P67" i="7"/>
  <c r="V66" i="7"/>
  <c r="W66" i="7"/>
  <c r="Q66" i="7"/>
  <c r="P66" i="7"/>
  <c r="V65" i="7"/>
  <c r="W65" i="7"/>
  <c r="Q65" i="7"/>
  <c r="P65" i="7"/>
  <c r="V64" i="7"/>
  <c r="W64" i="7"/>
  <c r="Q64" i="7"/>
  <c r="P64" i="7"/>
  <c r="V63" i="7"/>
  <c r="W63" i="7"/>
  <c r="Q63" i="7"/>
  <c r="P63" i="7"/>
  <c r="V62" i="7"/>
  <c r="W62" i="7"/>
  <c r="Q62" i="7"/>
  <c r="P62" i="7"/>
  <c r="V61" i="7"/>
  <c r="W61" i="7"/>
  <c r="Q61" i="7"/>
  <c r="P61" i="7"/>
  <c r="P60" i="7"/>
  <c r="P57" i="7"/>
  <c r="N27" i="7"/>
  <c r="N38" i="7"/>
  <c r="N39" i="7"/>
  <c r="N46" i="7"/>
  <c r="L28" i="22"/>
  <c r="N47" i="7"/>
  <c r="N48" i="7"/>
  <c r="N53" i="7"/>
  <c r="N54" i="7"/>
  <c r="N55" i="7"/>
  <c r="M54" i="7"/>
  <c r="M39" i="7"/>
  <c r="M55" i="7"/>
  <c r="L54" i="7"/>
  <c r="L39" i="7"/>
  <c r="L55" i="7"/>
  <c r="K39" i="7"/>
  <c r="K55" i="7"/>
  <c r="V26" i="7"/>
  <c r="W26" i="7"/>
  <c r="Q26" i="7"/>
  <c r="V25" i="7"/>
  <c r="W25" i="7"/>
  <c r="Q25" i="7"/>
  <c r="P25" i="7"/>
  <c r="V24" i="7"/>
  <c r="W24" i="7"/>
  <c r="Q24" i="7"/>
  <c r="P24" i="7"/>
  <c r="V23" i="7"/>
  <c r="W23" i="7"/>
  <c r="Q23" i="7"/>
  <c r="P23" i="7"/>
  <c r="V22" i="7"/>
  <c r="W22" i="7"/>
  <c r="Q22" i="7"/>
  <c r="P22" i="7"/>
  <c r="V21" i="7"/>
  <c r="W21" i="7"/>
  <c r="Q21" i="7"/>
  <c r="P21" i="7"/>
  <c r="V20" i="7"/>
  <c r="W20" i="7"/>
  <c r="Q20" i="7"/>
  <c r="P20" i="7"/>
  <c r="V19" i="7"/>
  <c r="W19" i="7"/>
  <c r="Q19" i="7"/>
  <c r="P19" i="7"/>
  <c r="V18" i="7"/>
  <c r="W18" i="7"/>
  <c r="Q18" i="7"/>
  <c r="P18" i="7"/>
  <c r="V17" i="7"/>
  <c r="W17" i="7"/>
  <c r="Q17" i="7"/>
  <c r="P17" i="7"/>
  <c r="V16" i="7"/>
  <c r="W16" i="7"/>
  <c r="Q16" i="7"/>
  <c r="P16" i="7"/>
  <c r="V15" i="7"/>
  <c r="W15" i="7"/>
  <c r="Q15" i="7"/>
  <c r="P15" i="7"/>
  <c r="V14" i="7"/>
  <c r="W14" i="7"/>
  <c r="Q14" i="7"/>
  <c r="P14" i="7"/>
  <c r="V13" i="7"/>
  <c r="W13" i="7"/>
  <c r="Q13" i="7"/>
  <c r="P13" i="7"/>
  <c r="V12" i="7"/>
  <c r="W12" i="7"/>
  <c r="Q12" i="7"/>
  <c r="P12" i="7"/>
  <c r="V11" i="7"/>
  <c r="W11" i="7"/>
  <c r="Q11" i="7"/>
  <c r="P11" i="7"/>
  <c r="V10" i="7"/>
  <c r="W10" i="7"/>
  <c r="Q10" i="7"/>
  <c r="P10" i="7"/>
  <c r="V9" i="7"/>
  <c r="W9" i="7"/>
  <c r="Q9" i="7"/>
  <c r="P9" i="7"/>
  <c r="Q8" i="7"/>
  <c r="P8" i="7"/>
  <c r="V7" i="7"/>
  <c r="W7" i="7"/>
  <c r="Q7" i="7"/>
  <c r="P7" i="7"/>
  <c r="V6" i="7"/>
  <c r="W6" i="7"/>
  <c r="Q6" i="7"/>
  <c r="P6" i="7"/>
  <c r="P5" i="7"/>
  <c r="P2" i="7"/>
  <c r="G49" i="15"/>
  <c r="G48" i="15"/>
  <c r="G40" i="15"/>
  <c r="G41" i="15"/>
  <c r="G42" i="15"/>
  <c r="I33" i="15"/>
  <c r="Q24" i="15"/>
  <c r="S4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G18" i="15"/>
  <c r="G17" i="15"/>
  <c r="G9" i="15"/>
  <c r="G10" i="15"/>
  <c r="G11" i="15"/>
  <c r="I2" i="15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4" i="14"/>
  <c r="N86" i="14"/>
  <c r="N87" i="14"/>
  <c r="N88" i="14"/>
  <c r="N89" i="14"/>
  <c r="N90" i="14"/>
  <c r="N91" i="14"/>
  <c r="N92" i="14"/>
  <c r="N94" i="14"/>
  <c r="N96" i="14"/>
  <c r="N97" i="14"/>
  <c r="N98" i="14"/>
  <c r="N99" i="14"/>
  <c r="N100" i="14"/>
  <c r="N101" i="14"/>
  <c r="N104" i="14"/>
  <c r="N106" i="14"/>
  <c r="N107" i="14"/>
  <c r="N108" i="14"/>
  <c r="N109" i="14"/>
  <c r="N111" i="14"/>
  <c r="N112" i="14"/>
  <c r="N113" i="14"/>
  <c r="N114" i="14"/>
  <c r="L151" i="22"/>
  <c r="L152" i="22"/>
  <c r="L153" i="22"/>
  <c r="L154" i="22"/>
  <c r="L155" i="22"/>
  <c r="L156" i="22"/>
  <c r="L157" i="22"/>
  <c r="L158" i="22"/>
  <c r="L159" i="22"/>
  <c r="L160" i="22"/>
  <c r="L161" i="22"/>
  <c r="N115" i="14"/>
  <c r="N577" i="21"/>
  <c r="N578" i="21"/>
  <c r="N579" i="21"/>
  <c r="N580" i="21"/>
  <c r="N581" i="21"/>
  <c r="N582" i="21"/>
  <c r="N583" i="21"/>
  <c r="N584" i="21"/>
  <c r="N585" i="21"/>
  <c r="N586" i="21"/>
  <c r="N587" i="21"/>
  <c r="N590" i="21"/>
  <c r="N591" i="21"/>
  <c r="N592" i="21"/>
  <c r="N593" i="21"/>
  <c r="N594" i="21"/>
  <c r="N595" i="21"/>
  <c r="N596" i="21"/>
  <c r="N597" i="21"/>
  <c r="N598" i="21"/>
  <c r="N599" i="21"/>
  <c r="N600" i="21"/>
  <c r="N601" i="21"/>
  <c r="N116" i="14"/>
  <c r="N118" i="14"/>
  <c r="N119" i="14"/>
  <c r="N120" i="14"/>
  <c r="N121" i="14"/>
  <c r="N122" i="14"/>
  <c r="N123" i="14"/>
  <c r="M82" i="14"/>
  <c r="M91" i="14"/>
  <c r="M92" i="14"/>
  <c r="M99" i="14"/>
  <c r="M100" i="14"/>
  <c r="M101" i="14"/>
  <c r="M109" i="14"/>
  <c r="M114" i="14"/>
  <c r="M115" i="14"/>
  <c r="M122" i="14"/>
  <c r="M123" i="14"/>
  <c r="L82" i="14"/>
  <c r="L91" i="14"/>
  <c r="L92" i="14"/>
  <c r="L99" i="14"/>
  <c r="L100" i="14"/>
  <c r="L101" i="14"/>
  <c r="L109" i="14"/>
  <c r="L114" i="14"/>
  <c r="L115" i="14"/>
  <c r="L122" i="14"/>
  <c r="L123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6" i="14"/>
  <c r="K87" i="14"/>
  <c r="K88" i="14"/>
  <c r="K89" i="14"/>
  <c r="K90" i="14"/>
  <c r="K91" i="14"/>
  <c r="K92" i="14"/>
  <c r="K96" i="14"/>
  <c r="K97" i="14"/>
  <c r="K98" i="14"/>
  <c r="K99" i="14"/>
  <c r="K100" i="14"/>
  <c r="K101" i="14"/>
  <c r="K106" i="14"/>
  <c r="K107" i="14"/>
  <c r="K108" i="14"/>
  <c r="K109" i="14"/>
  <c r="K111" i="14"/>
  <c r="K112" i="14"/>
  <c r="K113" i="14"/>
  <c r="K114" i="14"/>
  <c r="K151" i="22"/>
  <c r="K161" i="22"/>
  <c r="K115" i="14"/>
  <c r="K122" i="14"/>
  <c r="K123" i="14"/>
  <c r="M121" i="14"/>
  <c r="L121" i="14"/>
  <c r="K118" i="14"/>
  <c r="K119" i="14"/>
  <c r="K120" i="14"/>
  <c r="K121" i="14"/>
  <c r="M116" i="14"/>
  <c r="L116" i="14"/>
  <c r="M577" i="21"/>
  <c r="M587" i="21"/>
  <c r="M601" i="21"/>
  <c r="K116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V81" i="14"/>
  <c r="W81" i="14"/>
  <c r="Q81" i="14"/>
  <c r="V80" i="14"/>
  <c r="W80" i="14"/>
  <c r="Q80" i="14"/>
  <c r="P80" i="14"/>
  <c r="V79" i="14"/>
  <c r="W79" i="14"/>
  <c r="Q79" i="14"/>
  <c r="P79" i="14"/>
  <c r="V78" i="14"/>
  <c r="W78" i="14"/>
  <c r="Q78" i="14"/>
  <c r="P78" i="14"/>
  <c r="V77" i="14"/>
  <c r="W77" i="14"/>
  <c r="Q77" i="14"/>
  <c r="P77" i="14"/>
  <c r="V76" i="14"/>
  <c r="W76" i="14"/>
  <c r="Q76" i="14"/>
  <c r="P76" i="14"/>
  <c r="V75" i="14"/>
  <c r="W75" i="14"/>
  <c r="Q75" i="14"/>
  <c r="P75" i="14"/>
  <c r="V74" i="14"/>
  <c r="W74" i="14"/>
  <c r="Q74" i="14"/>
  <c r="P74" i="14"/>
  <c r="V73" i="14"/>
  <c r="W73" i="14"/>
  <c r="Q73" i="14"/>
  <c r="P73" i="14"/>
  <c r="V72" i="14"/>
  <c r="W72" i="14"/>
  <c r="Q72" i="14"/>
  <c r="P72" i="14"/>
  <c r="V71" i="14"/>
  <c r="W71" i="14"/>
  <c r="Q71" i="14"/>
  <c r="P71" i="14"/>
  <c r="V70" i="14"/>
  <c r="W70" i="14"/>
  <c r="Q70" i="14"/>
  <c r="P70" i="14"/>
  <c r="V69" i="14"/>
  <c r="W69" i="14"/>
  <c r="Q69" i="14"/>
  <c r="P69" i="14"/>
  <c r="V68" i="14"/>
  <c r="W68" i="14"/>
  <c r="Q68" i="14"/>
  <c r="P68" i="14"/>
  <c r="V67" i="14"/>
  <c r="W67" i="14"/>
  <c r="Q67" i="14"/>
  <c r="P67" i="14"/>
  <c r="V66" i="14"/>
  <c r="W66" i="14"/>
  <c r="Q66" i="14"/>
  <c r="P66" i="14"/>
  <c r="V65" i="14"/>
  <c r="W65" i="14"/>
  <c r="Q65" i="14"/>
  <c r="P65" i="14"/>
  <c r="V64" i="14"/>
  <c r="W64" i="14"/>
  <c r="Q64" i="14"/>
  <c r="P64" i="14"/>
  <c r="V63" i="14"/>
  <c r="W63" i="14"/>
  <c r="Q63" i="14"/>
  <c r="P63" i="14"/>
  <c r="V62" i="14"/>
  <c r="W62" i="14"/>
  <c r="Q62" i="14"/>
  <c r="P62" i="14"/>
  <c r="V61" i="14"/>
  <c r="W61" i="14"/>
  <c r="Q61" i="14"/>
  <c r="P61" i="14"/>
  <c r="P60" i="14"/>
  <c r="P57" i="14"/>
  <c r="N27" i="14"/>
  <c r="N38" i="14"/>
  <c r="N39" i="14"/>
  <c r="N53" i="14"/>
  <c r="N46" i="14"/>
  <c r="L67" i="22"/>
  <c r="N47" i="14"/>
  <c r="N48" i="14"/>
  <c r="N54" i="14"/>
  <c r="N55" i="14"/>
  <c r="M39" i="14"/>
  <c r="M54" i="14"/>
  <c r="M55" i="14"/>
  <c r="L39" i="14"/>
  <c r="L54" i="14"/>
  <c r="L55" i="14"/>
  <c r="K39" i="14"/>
  <c r="K55" i="14"/>
  <c r="V26" i="14"/>
  <c r="W26" i="14"/>
  <c r="Q26" i="14"/>
  <c r="V25" i="14"/>
  <c r="W25" i="14"/>
  <c r="Q25" i="14"/>
  <c r="P25" i="14"/>
  <c r="V24" i="14"/>
  <c r="W24" i="14"/>
  <c r="Q24" i="14"/>
  <c r="P24" i="14"/>
  <c r="V23" i="14"/>
  <c r="W23" i="14"/>
  <c r="Q23" i="14"/>
  <c r="P23" i="14"/>
  <c r="V22" i="14"/>
  <c r="W22" i="14"/>
  <c r="Q22" i="14"/>
  <c r="P22" i="14"/>
  <c r="V21" i="14"/>
  <c r="W21" i="14"/>
  <c r="Q21" i="14"/>
  <c r="P21" i="14"/>
  <c r="V20" i="14"/>
  <c r="W20" i="14"/>
  <c r="Q20" i="14"/>
  <c r="P20" i="14"/>
  <c r="V19" i="14"/>
  <c r="W19" i="14"/>
  <c r="Q19" i="14"/>
  <c r="P19" i="14"/>
  <c r="V18" i="14"/>
  <c r="W18" i="14"/>
  <c r="Q18" i="14"/>
  <c r="P18" i="14"/>
  <c r="V17" i="14"/>
  <c r="W17" i="14"/>
  <c r="Q17" i="14"/>
  <c r="P17" i="14"/>
  <c r="V16" i="14"/>
  <c r="W16" i="14"/>
  <c r="Q16" i="14"/>
  <c r="P16" i="14"/>
  <c r="V15" i="14"/>
  <c r="W15" i="14"/>
  <c r="Q15" i="14"/>
  <c r="P15" i="14"/>
  <c r="V14" i="14"/>
  <c r="W14" i="14"/>
  <c r="Q14" i="14"/>
  <c r="P14" i="14"/>
  <c r="V13" i="14"/>
  <c r="W13" i="14"/>
  <c r="Q13" i="14"/>
  <c r="P13" i="14"/>
  <c r="V12" i="14"/>
  <c r="W12" i="14"/>
  <c r="Q12" i="14"/>
  <c r="P12" i="14"/>
  <c r="V11" i="14"/>
  <c r="W11" i="14"/>
  <c r="Q11" i="14"/>
  <c r="P11" i="14"/>
  <c r="V10" i="14"/>
  <c r="W10" i="14"/>
  <c r="Q10" i="14"/>
  <c r="P10" i="14"/>
  <c r="V9" i="14"/>
  <c r="W9" i="14"/>
  <c r="Q9" i="14"/>
  <c r="P9" i="14"/>
  <c r="Q8" i="14"/>
  <c r="P8" i="14"/>
  <c r="V7" i="14"/>
  <c r="W7" i="14"/>
  <c r="Q7" i="14"/>
  <c r="P7" i="14"/>
  <c r="V6" i="14"/>
  <c r="W6" i="14"/>
  <c r="Q6" i="14"/>
  <c r="P6" i="14"/>
  <c r="P5" i="14"/>
  <c r="P2" i="14"/>
  <c r="DC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72" i="11"/>
  <c r="G101" i="11"/>
  <c r="G100" i="11"/>
  <c r="DC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74" i="11"/>
  <c r="G99" i="11"/>
  <c r="G98" i="11"/>
  <c r="DC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43" i="11"/>
  <c r="G93" i="11"/>
  <c r="G94" i="11"/>
  <c r="DC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42" i="11"/>
  <c r="G91" i="11"/>
  <c r="G92" i="11"/>
  <c r="G90" i="11"/>
  <c r="G89" i="11"/>
  <c r="G88" i="11"/>
  <c r="G87" i="11"/>
  <c r="G86" i="11"/>
  <c r="G85" i="11"/>
  <c r="G82" i="11"/>
  <c r="G81" i="11"/>
  <c r="G80" i="11"/>
  <c r="G79" i="11"/>
  <c r="DC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22" i="11"/>
  <c r="G75" i="11"/>
  <c r="DC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21" i="11"/>
  <c r="G73" i="11"/>
  <c r="G71" i="11"/>
  <c r="G70" i="11"/>
  <c r="G69" i="11"/>
  <c r="G68" i="11"/>
  <c r="G67" i="11"/>
  <c r="G66" i="11"/>
  <c r="G63" i="11"/>
  <c r="G62" i="11"/>
  <c r="G61" i="11"/>
  <c r="G60" i="11"/>
  <c r="G47" i="11"/>
  <c r="G49" i="11"/>
  <c r="DC50" i="11"/>
  <c r="DB50" i="11"/>
  <c r="DA50" i="11"/>
  <c r="CZ50" i="11"/>
  <c r="CY50" i="11"/>
  <c r="CX50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G41" i="11"/>
  <c r="DC37" i="11"/>
  <c r="DC38" i="11"/>
  <c r="DC39" i="11"/>
  <c r="DC40" i="11"/>
  <c r="DB37" i="11"/>
  <c r="DB38" i="11"/>
  <c r="DB39" i="11"/>
  <c r="DB40" i="11"/>
  <c r="DA37" i="11"/>
  <c r="DA38" i="11"/>
  <c r="DA39" i="11"/>
  <c r="DA40" i="11"/>
  <c r="CZ37" i="11"/>
  <c r="CZ38" i="11"/>
  <c r="CZ39" i="11"/>
  <c r="CZ40" i="11"/>
  <c r="CY37" i="11"/>
  <c r="CY38" i="11"/>
  <c r="CY39" i="11"/>
  <c r="CY40" i="11"/>
  <c r="CX37" i="11"/>
  <c r="CX38" i="11"/>
  <c r="CX39" i="11"/>
  <c r="CX40" i="11"/>
  <c r="CW37" i="11"/>
  <c r="CW38" i="11"/>
  <c r="CW39" i="11"/>
  <c r="CW40" i="11"/>
  <c r="CV37" i="11"/>
  <c r="CV38" i="11"/>
  <c r="CV39" i="11"/>
  <c r="CV40" i="11"/>
  <c r="CU37" i="11"/>
  <c r="CU38" i="11"/>
  <c r="CU39" i="11"/>
  <c r="CU40" i="11"/>
  <c r="CT37" i="11"/>
  <c r="CT38" i="11"/>
  <c r="CT39" i="11"/>
  <c r="CT40" i="11"/>
  <c r="CS37" i="11"/>
  <c r="CS38" i="11"/>
  <c r="CS39" i="11"/>
  <c r="CS40" i="11"/>
  <c r="CR37" i="11"/>
  <c r="CR38" i="11"/>
  <c r="CR39" i="11"/>
  <c r="CR40" i="11"/>
  <c r="CQ37" i="11"/>
  <c r="CQ38" i="11"/>
  <c r="CQ39" i="11"/>
  <c r="CQ40" i="11"/>
  <c r="CP37" i="11"/>
  <c r="CP38" i="11"/>
  <c r="CP39" i="11"/>
  <c r="CP40" i="11"/>
  <c r="CO37" i="11"/>
  <c r="CO38" i="11"/>
  <c r="CO39" i="11"/>
  <c r="CO40" i="11"/>
  <c r="CN37" i="11"/>
  <c r="CN38" i="11"/>
  <c r="CN39" i="11"/>
  <c r="CN40" i="11"/>
  <c r="CM37" i="11"/>
  <c r="CM38" i="11"/>
  <c r="CM39" i="11"/>
  <c r="CM40" i="11"/>
  <c r="CL37" i="11"/>
  <c r="CL38" i="11"/>
  <c r="CL39" i="11"/>
  <c r="CL40" i="11"/>
  <c r="CK37" i="11"/>
  <c r="CK38" i="11"/>
  <c r="CK39" i="11"/>
  <c r="CK40" i="11"/>
  <c r="CJ37" i="11"/>
  <c r="CJ38" i="11"/>
  <c r="CJ39" i="11"/>
  <c r="CJ40" i="11"/>
  <c r="CI37" i="11"/>
  <c r="CI38" i="11"/>
  <c r="CI39" i="11"/>
  <c r="CI40" i="11"/>
  <c r="CH37" i="11"/>
  <c r="CH38" i="11"/>
  <c r="CH39" i="11"/>
  <c r="CH40" i="11"/>
  <c r="CG37" i="11"/>
  <c r="CG38" i="11"/>
  <c r="CG39" i="11"/>
  <c r="CG40" i="11"/>
  <c r="CF37" i="11"/>
  <c r="CF38" i="11"/>
  <c r="CF39" i="11"/>
  <c r="CF40" i="11"/>
  <c r="CE37" i="11"/>
  <c r="CE38" i="11"/>
  <c r="CE39" i="11"/>
  <c r="CE40" i="11"/>
  <c r="CD37" i="11"/>
  <c r="CD38" i="11"/>
  <c r="CD39" i="11"/>
  <c r="CD40" i="11"/>
  <c r="CC37" i="11"/>
  <c r="CC38" i="11"/>
  <c r="CC39" i="11"/>
  <c r="CC40" i="11"/>
  <c r="CB37" i="11"/>
  <c r="CB38" i="11"/>
  <c r="CB39" i="11"/>
  <c r="CB40" i="11"/>
  <c r="CA37" i="11"/>
  <c r="CA38" i="11"/>
  <c r="CA39" i="11"/>
  <c r="CA40" i="11"/>
  <c r="BZ37" i="11"/>
  <c r="BZ38" i="11"/>
  <c r="BZ39" i="11"/>
  <c r="BZ40" i="11"/>
  <c r="BY37" i="11"/>
  <c r="BY38" i="11"/>
  <c r="BY39" i="11"/>
  <c r="BY40" i="11"/>
  <c r="BX37" i="11"/>
  <c r="BX38" i="11"/>
  <c r="BX39" i="11"/>
  <c r="BX40" i="11"/>
  <c r="BW37" i="11"/>
  <c r="BW38" i="11"/>
  <c r="BW39" i="11"/>
  <c r="BW40" i="11"/>
  <c r="BV37" i="11"/>
  <c r="BV38" i="11"/>
  <c r="BV39" i="11"/>
  <c r="BV40" i="11"/>
  <c r="BU37" i="11"/>
  <c r="BU38" i="11"/>
  <c r="BU39" i="11"/>
  <c r="BU40" i="11"/>
  <c r="BT37" i="11"/>
  <c r="BT38" i="11"/>
  <c r="BT39" i="11"/>
  <c r="BT40" i="11"/>
  <c r="BS37" i="11"/>
  <c r="BS38" i="11"/>
  <c r="BS39" i="11"/>
  <c r="BS40" i="11"/>
  <c r="BR37" i="11"/>
  <c r="BR38" i="11"/>
  <c r="BR39" i="11"/>
  <c r="BR40" i="11"/>
  <c r="BQ37" i="11"/>
  <c r="BQ38" i="11"/>
  <c r="BQ39" i="11"/>
  <c r="BQ40" i="11"/>
  <c r="BP37" i="11"/>
  <c r="BP38" i="11"/>
  <c r="BP39" i="11"/>
  <c r="BP40" i="11"/>
  <c r="BO37" i="11"/>
  <c r="BO38" i="11"/>
  <c r="BO39" i="11"/>
  <c r="BO40" i="11"/>
  <c r="BN37" i="11"/>
  <c r="BN38" i="11"/>
  <c r="BN39" i="11"/>
  <c r="BN40" i="11"/>
  <c r="BM37" i="11"/>
  <c r="BM38" i="11"/>
  <c r="BM39" i="11"/>
  <c r="BM40" i="11"/>
  <c r="BL37" i="11"/>
  <c r="BL38" i="11"/>
  <c r="BL39" i="11"/>
  <c r="BL40" i="11"/>
  <c r="BK37" i="11"/>
  <c r="BK38" i="11"/>
  <c r="BK39" i="11"/>
  <c r="BK40" i="11"/>
  <c r="BJ37" i="11"/>
  <c r="BJ38" i="11"/>
  <c r="BJ39" i="11"/>
  <c r="BJ40" i="11"/>
  <c r="BI37" i="11"/>
  <c r="BI38" i="11"/>
  <c r="BI39" i="11"/>
  <c r="BI40" i="11"/>
  <c r="BH37" i="11"/>
  <c r="BH38" i="11"/>
  <c r="BH39" i="11"/>
  <c r="BH40" i="11"/>
  <c r="BG37" i="11"/>
  <c r="BG38" i="11"/>
  <c r="BG39" i="11"/>
  <c r="BG40" i="11"/>
  <c r="BF37" i="11"/>
  <c r="BF38" i="11"/>
  <c r="BF39" i="11"/>
  <c r="BF40" i="11"/>
  <c r="BE37" i="11"/>
  <c r="BE38" i="11"/>
  <c r="BE39" i="11"/>
  <c r="BE40" i="11"/>
  <c r="BD37" i="11"/>
  <c r="BD38" i="11"/>
  <c r="BD39" i="11"/>
  <c r="BD40" i="11"/>
  <c r="BC37" i="11"/>
  <c r="BC38" i="11"/>
  <c r="BC39" i="11"/>
  <c r="BC40" i="11"/>
  <c r="BB37" i="11"/>
  <c r="BB38" i="11"/>
  <c r="BB39" i="11"/>
  <c r="BB40" i="11"/>
  <c r="BA37" i="11"/>
  <c r="BA38" i="11"/>
  <c r="BA39" i="11"/>
  <c r="BA40" i="11"/>
  <c r="AZ37" i="11"/>
  <c r="AZ38" i="11"/>
  <c r="AZ39" i="11"/>
  <c r="AZ40" i="11"/>
  <c r="AY37" i="11"/>
  <c r="AY38" i="11"/>
  <c r="AY39" i="11"/>
  <c r="AY40" i="11"/>
  <c r="AX37" i="11"/>
  <c r="AX38" i="11"/>
  <c r="AX39" i="11"/>
  <c r="AX40" i="11"/>
  <c r="AW37" i="11"/>
  <c r="AW38" i="11"/>
  <c r="AW39" i="11"/>
  <c r="AW40" i="11"/>
  <c r="AV37" i="11"/>
  <c r="AV38" i="11"/>
  <c r="AV39" i="11"/>
  <c r="AV40" i="11"/>
  <c r="AU37" i="11"/>
  <c r="AU38" i="11"/>
  <c r="AU39" i="11"/>
  <c r="AU40" i="11"/>
  <c r="AT37" i="11"/>
  <c r="AT38" i="11"/>
  <c r="AT39" i="11"/>
  <c r="AT40" i="11"/>
  <c r="AS37" i="11"/>
  <c r="AS38" i="11"/>
  <c r="AS39" i="11"/>
  <c r="AS40" i="11"/>
  <c r="AR37" i="11"/>
  <c r="AR38" i="11"/>
  <c r="AR39" i="11"/>
  <c r="AR40" i="11"/>
  <c r="AQ37" i="11"/>
  <c r="AQ38" i="11"/>
  <c r="AQ39" i="11"/>
  <c r="AQ40" i="11"/>
  <c r="AP37" i="11"/>
  <c r="AP38" i="11"/>
  <c r="AP39" i="11"/>
  <c r="AP40" i="11"/>
  <c r="AO37" i="11"/>
  <c r="AO38" i="11"/>
  <c r="AO39" i="11"/>
  <c r="AO40" i="11"/>
  <c r="AN37" i="11"/>
  <c r="AN38" i="11"/>
  <c r="AN39" i="11"/>
  <c r="AN40" i="11"/>
  <c r="AM37" i="11"/>
  <c r="AM38" i="11"/>
  <c r="AM39" i="11"/>
  <c r="AM40" i="11"/>
  <c r="AL37" i="11"/>
  <c r="AL38" i="11"/>
  <c r="AL39" i="11"/>
  <c r="AL40" i="11"/>
  <c r="AK37" i="11"/>
  <c r="AK38" i="11"/>
  <c r="AK39" i="11"/>
  <c r="AK40" i="11"/>
  <c r="AJ37" i="11"/>
  <c r="AJ38" i="11"/>
  <c r="AJ39" i="11"/>
  <c r="AJ40" i="11"/>
  <c r="AI37" i="11"/>
  <c r="AI38" i="11"/>
  <c r="AI39" i="11"/>
  <c r="AI40" i="11"/>
  <c r="AH37" i="11"/>
  <c r="AH38" i="11"/>
  <c r="AH39" i="11"/>
  <c r="AH40" i="11"/>
  <c r="AG37" i="11"/>
  <c r="AG38" i="11"/>
  <c r="AG39" i="11"/>
  <c r="AG40" i="11"/>
  <c r="AF37" i="11"/>
  <c r="AF38" i="11"/>
  <c r="AF39" i="11"/>
  <c r="AF40" i="11"/>
  <c r="AE37" i="11"/>
  <c r="AE38" i="11"/>
  <c r="AE39" i="11"/>
  <c r="AE40" i="11"/>
  <c r="AD37" i="11"/>
  <c r="AD38" i="11"/>
  <c r="AD39" i="11"/>
  <c r="AD40" i="11"/>
  <c r="AC37" i="11"/>
  <c r="AC38" i="11"/>
  <c r="AC39" i="11"/>
  <c r="AC40" i="11"/>
  <c r="AB37" i="11"/>
  <c r="AB38" i="11"/>
  <c r="AB39" i="11"/>
  <c r="AB40" i="11"/>
  <c r="AA37" i="11"/>
  <c r="AA38" i="11"/>
  <c r="AA39" i="11"/>
  <c r="AA40" i="11"/>
  <c r="Z37" i="11"/>
  <c r="Z38" i="11"/>
  <c r="Z39" i="11"/>
  <c r="Z40" i="11"/>
  <c r="Y37" i="11"/>
  <c r="Y38" i="11"/>
  <c r="Y39" i="11"/>
  <c r="Y40" i="11"/>
  <c r="X37" i="11"/>
  <c r="X38" i="11"/>
  <c r="X39" i="11"/>
  <c r="X40" i="11"/>
  <c r="W37" i="11"/>
  <c r="W38" i="11"/>
  <c r="W39" i="11"/>
  <c r="W40" i="11"/>
  <c r="V37" i="11"/>
  <c r="V38" i="11"/>
  <c r="V39" i="11"/>
  <c r="V40" i="11"/>
  <c r="U37" i="11"/>
  <c r="U38" i="11"/>
  <c r="U39" i="11"/>
  <c r="U40" i="11"/>
  <c r="T37" i="11"/>
  <c r="T38" i="11"/>
  <c r="T39" i="11"/>
  <c r="T40" i="11"/>
  <c r="S37" i="11"/>
  <c r="S38" i="11"/>
  <c r="S39" i="11"/>
  <c r="S40" i="11"/>
  <c r="R37" i="11"/>
  <c r="R38" i="11"/>
  <c r="R39" i="11"/>
  <c r="R40" i="11"/>
  <c r="Q37" i="11"/>
  <c r="Q38" i="11"/>
  <c r="Q39" i="11"/>
  <c r="Q40" i="11"/>
  <c r="P37" i="11"/>
  <c r="P38" i="11"/>
  <c r="P39" i="11"/>
  <c r="P40" i="11"/>
  <c r="O37" i="11"/>
  <c r="O38" i="11"/>
  <c r="O39" i="11"/>
  <c r="O40" i="11"/>
  <c r="N37" i="11"/>
  <c r="N38" i="11"/>
  <c r="N39" i="11"/>
  <c r="N40" i="11"/>
  <c r="M37" i="11"/>
  <c r="M38" i="11"/>
  <c r="M39" i="11"/>
  <c r="M40" i="11"/>
  <c r="L37" i="11"/>
  <c r="L38" i="11"/>
  <c r="L39" i="11"/>
  <c r="L40" i="11"/>
  <c r="K37" i="11"/>
  <c r="K38" i="11"/>
  <c r="K39" i="11"/>
  <c r="K40" i="11"/>
  <c r="J37" i="11"/>
  <c r="J38" i="11"/>
  <c r="J39" i="11"/>
  <c r="J40" i="11"/>
  <c r="I37" i="11"/>
  <c r="I38" i="11"/>
  <c r="I39" i="11"/>
  <c r="I40" i="11"/>
  <c r="H37" i="11"/>
  <c r="H38" i="11"/>
  <c r="H39" i="11"/>
  <c r="H40" i="11"/>
  <c r="G40" i="11"/>
  <c r="G39" i="11"/>
  <c r="G38" i="11"/>
  <c r="G37" i="11"/>
  <c r="G36" i="11"/>
  <c r="G35" i="11"/>
  <c r="G34" i="11"/>
  <c r="G33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G31" i="11"/>
  <c r="G27" i="11"/>
  <c r="G20" i="11"/>
  <c r="DC19" i="11"/>
  <c r="DB19" i="11"/>
  <c r="DA19" i="11"/>
  <c r="CZ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E19" i="11"/>
  <c r="CD19" i="11"/>
  <c r="CC19" i="11"/>
  <c r="CB19" i="11"/>
  <c r="CA19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G18" i="11"/>
  <c r="G17" i="11"/>
  <c r="G16" i="11"/>
  <c r="G15" i="11"/>
  <c r="G14" i="11"/>
  <c r="G13" i="11"/>
  <c r="G12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G10" i="11"/>
  <c r="G6" i="11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4" i="10"/>
  <c r="N116" i="10"/>
  <c r="N117" i="10"/>
  <c r="N118" i="10"/>
  <c r="N119" i="10"/>
  <c r="N120" i="10"/>
  <c r="N121" i="10"/>
  <c r="N122" i="10"/>
  <c r="N124" i="10"/>
  <c r="N126" i="10"/>
  <c r="N127" i="10"/>
  <c r="N128" i="10"/>
  <c r="N129" i="10"/>
  <c r="N130" i="10"/>
  <c r="N131" i="10"/>
  <c r="N134" i="10"/>
  <c r="N136" i="10"/>
  <c r="N137" i="10"/>
  <c r="N138" i="10"/>
  <c r="N139" i="10"/>
  <c r="N141" i="10"/>
  <c r="N142" i="10"/>
  <c r="N143" i="10"/>
  <c r="N144" i="10"/>
  <c r="L125" i="22"/>
  <c r="L126" i="22"/>
  <c r="L127" i="22"/>
  <c r="L128" i="22"/>
  <c r="L129" i="22"/>
  <c r="L130" i="22"/>
  <c r="L131" i="22"/>
  <c r="L132" i="22"/>
  <c r="L133" i="22"/>
  <c r="L134" i="22"/>
  <c r="L135" i="22"/>
  <c r="N145" i="10"/>
  <c r="N524" i="21"/>
  <c r="N525" i="21"/>
  <c r="N526" i="21"/>
  <c r="N527" i="21"/>
  <c r="N528" i="21"/>
  <c r="N529" i="21"/>
  <c r="N530" i="21"/>
  <c r="N531" i="21"/>
  <c r="N534" i="21"/>
  <c r="N535" i="21"/>
  <c r="N536" i="21"/>
  <c r="N537" i="21"/>
  <c r="N538" i="21"/>
  <c r="N539" i="21"/>
  <c r="N540" i="21"/>
  <c r="N541" i="21"/>
  <c r="N542" i="21"/>
  <c r="N543" i="21"/>
  <c r="N544" i="21"/>
  <c r="N545" i="21"/>
  <c r="N146" i="10"/>
  <c r="N148" i="10"/>
  <c r="N149" i="10"/>
  <c r="N150" i="10"/>
  <c r="N151" i="10"/>
  <c r="N152" i="10"/>
  <c r="N153" i="10"/>
  <c r="M112" i="10"/>
  <c r="M121" i="10"/>
  <c r="M122" i="10"/>
  <c r="M129" i="10"/>
  <c r="M130" i="10"/>
  <c r="M131" i="10"/>
  <c r="M139" i="10"/>
  <c r="M144" i="10"/>
  <c r="M145" i="10"/>
  <c r="M152" i="10"/>
  <c r="M153" i="10"/>
  <c r="L112" i="10"/>
  <c r="L121" i="10"/>
  <c r="L122" i="10"/>
  <c r="L129" i="10"/>
  <c r="L130" i="10"/>
  <c r="L131" i="10"/>
  <c r="L139" i="10"/>
  <c r="L144" i="10"/>
  <c r="L145" i="10"/>
  <c r="L152" i="10"/>
  <c r="L153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6" i="10"/>
  <c r="K117" i="10"/>
  <c r="K118" i="10"/>
  <c r="K119" i="10"/>
  <c r="K120" i="10"/>
  <c r="K121" i="10"/>
  <c r="K122" i="10"/>
  <c r="K126" i="10"/>
  <c r="K127" i="10"/>
  <c r="K128" i="10"/>
  <c r="K129" i="10"/>
  <c r="K130" i="10"/>
  <c r="K131" i="10"/>
  <c r="K136" i="10"/>
  <c r="K137" i="10"/>
  <c r="K138" i="10"/>
  <c r="K139" i="10"/>
  <c r="K141" i="10"/>
  <c r="K142" i="10"/>
  <c r="K143" i="10"/>
  <c r="K144" i="10"/>
  <c r="K125" i="22"/>
  <c r="K135" i="22"/>
  <c r="K145" i="10"/>
  <c r="K152" i="10"/>
  <c r="K153" i="10"/>
  <c r="M151" i="10"/>
  <c r="L151" i="10"/>
  <c r="K148" i="10"/>
  <c r="K149" i="10"/>
  <c r="K150" i="10"/>
  <c r="K151" i="10"/>
  <c r="M146" i="10"/>
  <c r="L146" i="10"/>
  <c r="M531" i="21"/>
  <c r="M545" i="21"/>
  <c r="K146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V111" i="10"/>
  <c r="W111" i="10"/>
  <c r="Q111" i="10"/>
  <c r="V110" i="10"/>
  <c r="W110" i="10"/>
  <c r="Q110" i="10"/>
  <c r="P110" i="10"/>
  <c r="V109" i="10"/>
  <c r="W109" i="10"/>
  <c r="Q109" i="10"/>
  <c r="P109" i="10"/>
  <c r="V108" i="10"/>
  <c r="W108" i="10"/>
  <c r="Q108" i="10"/>
  <c r="P108" i="10"/>
  <c r="V107" i="10"/>
  <c r="W107" i="10"/>
  <c r="Q107" i="10"/>
  <c r="P107" i="10"/>
  <c r="V106" i="10"/>
  <c r="W106" i="10"/>
  <c r="Q106" i="10"/>
  <c r="P106" i="10"/>
  <c r="V105" i="10"/>
  <c r="W105" i="10"/>
  <c r="Q105" i="10"/>
  <c r="P105" i="10"/>
  <c r="V104" i="10"/>
  <c r="W104" i="10"/>
  <c r="Q104" i="10"/>
  <c r="P104" i="10"/>
  <c r="V103" i="10"/>
  <c r="W103" i="10"/>
  <c r="Q103" i="10"/>
  <c r="P103" i="10"/>
  <c r="V102" i="10"/>
  <c r="W102" i="10"/>
  <c r="Q102" i="10"/>
  <c r="P102" i="10"/>
  <c r="V101" i="10"/>
  <c r="W101" i="10"/>
  <c r="Q101" i="10"/>
  <c r="P101" i="10"/>
  <c r="V100" i="10"/>
  <c r="W100" i="10"/>
  <c r="Q100" i="10"/>
  <c r="P100" i="10"/>
  <c r="V99" i="10"/>
  <c r="W99" i="10"/>
  <c r="Q99" i="10"/>
  <c r="P99" i="10"/>
  <c r="V98" i="10"/>
  <c r="W98" i="10"/>
  <c r="Q98" i="10"/>
  <c r="P98" i="10"/>
  <c r="V97" i="10"/>
  <c r="W97" i="10"/>
  <c r="Q97" i="10"/>
  <c r="P97" i="10"/>
  <c r="V96" i="10"/>
  <c r="W96" i="10"/>
  <c r="Q96" i="10"/>
  <c r="P96" i="10"/>
  <c r="V95" i="10"/>
  <c r="W95" i="10"/>
  <c r="Q95" i="10"/>
  <c r="P95" i="10"/>
  <c r="V94" i="10"/>
  <c r="W94" i="10"/>
  <c r="Q94" i="10"/>
  <c r="P94" i="10"/>
  <c r="V93" i="10"/>
  <c r="W93" i="10"/>
  <c r="Q93" i="10"/>
  <c r="P93" i="10"/>
  <c r="V92" i="10"/>
  <c r="W92" i="10"/>
  <c r="Q92" i="10"/>
  <c r="P92" i="10"/>
  <c r="V91" i="10"/>
  <c r="W91" i="10"/>
  <c r="Q91" i="10"/>
  <c r="P91" i="10"/>
  <c r="V90" i="10"/>
  <c r="W90" i="10"/>
  <c r="Q90" i="10"/>
  <c r="P90" i="10"/>
  <c r="V89" i="10"/>
  <c r="W89" i="10"/>
  <c r="Q89" i="10"/>
  <c r="P89" i="10"/>
  <c r="V88" i="10"/>
  <c r="W88" i="10"/>
  <c r="Q88" i="10"/>
  <c r="P88" i="10"/>
  <c r="V87" i="10"/>
  <c r="W87" i="10"/>
  <c r="Q87" i="10"/>
  <c r="P87" i="10"/>
  <c r="V86" i="10"/>
  <c r="W86" i="10"/>
  <c r="Q86" i="10"/>
  <c r="P86" i="10"/>
  <c r="V85" i="10"/>
  <c r="W85" i="10"/>
  <c r="Q85" i="10"/>
  <c r="P85" i="10"/>
  <c r="V84" i="10"/>
  <c r="W84" i="10"/>
  <c r="Q84" i="10"/>
  <c r="P84" i="10"/>
  <c r="V83" i="10"/>
  <c r="W83" i="10"/>
  <c r="Q83" i="10"/>
  <c r="P83" i="10"/>
  <c r="V82" i="10"/>
  <c r="W82" i="10"/>
  <c r="Q82" i="10"/>
  <c r="P82" i="10"/>
  <c r="V81" i="10"/>
  <c r="W81" i="10"/>
  <c r="Q81" i="10"/>
  <c r="P81" i="10"/>
  <c r="V80" i="10"/>
  <c r="W80" i="10"/>
  <c r="Q80" i="10"/>
  <c r="P80" i="10"/>
  <c r="V79" i="10"/>
  <c r="W79" i="10"/>
  <c r="Q79" i="10"/>
  <c r="P79" i="10"/>
  <c r="V78" i="10"/>
  <c r="W78" i="10"/>
  <c r="Q78" i="10"/>
  <c r="P78" i="10"/>
  <c r="V77" i="10"/>
  <c r="W77" i="10"/>
  <c r="Q77" i="10"/>
  <c r="P77" i="10"/>
  <c r="V76" i="10"/>
  <c r="W76" i="10"/>
  <c r="Q76" i="10"/>
  <c r="P76" i="10"/>
  <c r="V75" i="10"/>
  <c r="W75" i="10"/>
  <c r="Q75" i="10"/>
  <c r="P75" i="10"/>
  <c r="V74" i="10"/>
  <c r="W74" i="10"/>
  <c r="Q74" i="10"/>
  <c r="P74" i="10"/>
  <c r="V73" i="10"/>
  <c r="W73" i="10"/>
  <c r="Q73" i="10"/>
  <c r="P73" i="10"/>
  <c r="V72" i="10"/>
  <c r="W72" i="10"/>
  <c r="Q72" i="10"/>
  <c r="P72" i="10"/>
  <c r="V71" i="10"/>
  <c r="W71" i="10"/>
  <c r="Q71" i="10"/>
  <c r="P71" i="10"/>
  <c r="V70" i="10"/>
  <c r="W70" i="10"/>
  <c r="Q70" i="10"/>
  <c r="P70" i="10"/>
  <c r="V69" i="10"/>
  <c r="W69" i="10"/>
  <c r="Q69" i="10"/>
  <c r="P69" i="10"/>
  <c r="V68" i="10"/>
  <c r="W68" i="10"/>
  <c r="Q68" i="10"/>
  <c r="P68" i="10"/>
  <c r="V67" i="10"/>
  <c r="W67" i="10"/>
  <c r="Q67" i="10"/>
  <c r="P67" i="10"/>
  <c r="V66" i="10"/>
  <c r="W66" i="10"/>
  <c r="Q66" i="10"/>
  <c r="P66" i="10"/>
  <c r="V65" i="10"/>
  <c r="W65" i="10"/>
  <c r="Q65" i="10"/>
  <c r="P65" i="10"/>
  <c r="V64" i="10"/>
  <c r="W64" i="10"/>
  <c r="Q64" i="10"/>
  <c r="P64" i="10"/>
  <c r="V63" i="10"/>
  <c r="W63" i="10"/>
  <c r="Q63" i="10"/>
  <c r="P63" i="10"/>
  <c r="V62" i="10"/>
  <c r="W62" i="10"/>
  <c r="Q62" i="10"/>
  <c r="P62" i="10"/>
  <c r="V61" i="10"/>
  <c r="W61" i="10"/>
  <c r="Q61" i="10"/>
  <c r="P61" i="10"/>
  <c r="P60" i="10"/>
  <c r="P57" i="10"/>
  <c r="N27" i="10"/>
  <c r="N38" i="10"/>
  <c r="N39" i="10"/>
  <c r="N46" i="10"/>
  <c r="L41" i="22"/>
  <c r="N47" i="10"/>
  <c r="N48" i="10"/>
  <c r="N53" i="10"/>
  <c r="N54" i="10"/>
  <c r="N55" i="10"/>
  <c r="M39" i="10"/>
  <c r="M54" i="10"/>
  <c r="M55" i="10"/>
  <c r="L39" i="10"/>
  <c r="L54" i="10"/>
  <c r="L55" i="10"/>
  <c r="K39" i="10"/>
  <c r="K55" i="10"/>
  <c r="V26" i="10"/>
  <c r="W26" i="10"/>
  <c r="Q26" i="10"/>
  <c r="V25" i="10"/>
  <c r="W25" i="10"/>
  <c r="Q25" i="10"/>
  <c r="P25" i="10"/>
  <c r="V24" i="10"/>
  <c r="W24" i="10"/>
  <c r="Q24" i="10"/>
  <c r="P24" i="10"/>
  <c r="V23" i="10"/>
  <c r="W23" i="10"/>
  <c r="Q23" i="10"/>
  <c r="P23" i="10"/>
  <c r="V22" i="10"/>
  <c r="W22" i="10"/>
  <c r="Q22" i="10"/>
  <c r="P22" i="10"/>
  <c r="V21" i="10"/>
  <c r="W21" i="10"/>
  <c r="Q21" i="10"/>
  <c r="P21" i="10"/>
  <c r="V20" i="10"/>
  <c r="W20" i="10"/>
  <c r="Q20" i="10"/>
  <c r="P20" i="10"/>
  <c r="V19" i="10"/>
  <c r="W19" i="10"/>
  <c r="Q19" i="10"/>
  <c r="P19" i="10"/>
  <c r="V18" i="10"/>
  <c r="W18" i="10"/>
  <c r="Q18" i="10"/>
  <c r="P18" i="10"/>
  <c r="V17" i="10"/>
  <c r="W17" i="10"/>
  <c r="Q17" i="10"/>
  <c r="P17" i="10"/>
  <c r="V16" i="10"/>
  <c r="W16" i="10"/>
  <c r="Q16" i="10"/>
  <c r="P16" i="10"/>
  <c r="V15" i="10"/>
  <c r="W15" i="10"/>
  <c r="Q15" i="10"/>
  <c r="P15" i="10"/>
  <c r="V14" i="10"/>
  <c r="W14" i="10"/>
  <c r="Q14" i="10"/>
  <c r="P14" i="10"/>
  <c r="V13" i="10"/>
  <c r="W13" i="10"/>
  <c r="Q13" i="10"/>
  <c r="P13" i="10"/>
  <c r="V12" i="10"/>
  <c r="W12" i="10"/>
  <c r="Q12" i="10"/>
  <c r="P12" i="10"/>
  <c r="V11" i="10"/>
  <c r="W11" i="10"/>
  <c r="Q11" i="10"/>
  <c r="P11" i="10"/>
  <c r="V10" i="10"/>
  <c r="W10" i="10"/>
  <c r="Q10" i="10"/>
  <c r="P10" i="10"/>
  <c r="Q9" i="10"/>
  <c r="P9" i="10"/>
  <c r="V8" i="10"/>
  <c r="W8" i="10"/>
  <c r="Q8" i="10"/>
  <c r="P8" i="10"/>
  <c r="V7" i="10"/>
  <c r="W7" i="10"/>
  <c r="Q7" i="10"/>
  <c r="P7" i="10"/>
  <c r="V6" i="10"/>
  <c r="W6" i="10"/>
  <c r="Q6" i="10"/>
  <c r="P6" i="10"/>
  <c r="P5" i="10"/>
  <c r="P2" i="10"/>
  <c r="AA62" i="17"/>
  <c r="AA63" i="17"/>
  <c r="Z62" i="17"/>
  <c r="Z63" i="17"/>
  <c r="Y62" i="17"/>
  <c r="Y63" i="17"/>
  <c r="X62" i="17"/>
  <c r="X63" i="17"/>
  <c r="W62" i="17"/>
  <c r="W63" i="17"/>
  <c r="V62" i="17"/>
  <c r="V63" i="17"/>
  <c r="U62" i="17"/>
  <c r="U63" i="17"/>
  <c r="T62" i="17"/>
  <c r="T63" i="17"/>
  <c r="S62" i="17"/>
  <c r="S63" i="17"/>
  <c r="R62" i="17"/>
  <c r="R63" i="17"/>
  <c r="Q62" i="17"/>
  <c r="Q63" i="17"/>
  <c r="P62" i="17"/>
  <c r="P63" i="17"/>
  <c r="O62" i="17"/>
  <c r="O63" i="17"/>
  <c r="N62" i="17"/>
  <c r="N63" i="17"/>
  <c r="M62" i="17"/>
  <c r="M63" i="17"/>
  <c r="L62" i="17"/>
  <c r="L63" i="17"/>
  <c r="K62" i="17"/>
  <c r="K63" i="17"/>
  <c r="J62" i="17"/>
  <c r="J63" i="17"/>
  <c r="I62" i="17"/>
  <c r="I63" i="17"/>
  <c r="H62" i="17"/>
  <c r="H63" i="17"/>
  <c r="G63" i="17"/>
  <c r="G62" i="17"/>
  <c r="G56" i="17"/>
  <c r="G55" i="17"/>
  <c r="G57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39" i="17"/>
  <c r="G46" i="17"/>
  <c r="G45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15" i="17"/>
  <c r="G40" i="17"/>
  <c r="G38" i="17"/>
  <c r="G35" i="17"/>
  <c r="G33" i="17"/>
  <c r="G32" i="17"/>
  <c r="G3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G14" i="17"/>
  <c r="G13" i="17"/>
  <c r="G12" i="17"/>
  <c r="G11" i="17"/>
  <c r="G10" i="17"/>
  <c r="G9" i="17"/>
  <c r="G7" i="17"/>
  <c r="G6" i="17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4" i="16"/>
  <c r="N86" i="16"/>
  <c r="N87" i="16"/>
  <c r="N88" i="16"/>
  <c r="N89" i="16"/>
  <c r="N90" i="16"/>
  <c r="N91" i="16"/>
  <c r="N92" i="16"/>
  <c r="N94" i="16"/>
  <c r="N96" i="16"/>
  <c r="N97" i="16"/>
  <c r="N98" i="16"/>
  <c r="N99" i="16"/>
  <c r="N100" i="16"/>
  <c r="N101" i="16"/>
  <c r="N104" i="16"/>
  <c r="N106" i="16"/>
  <c r="N107" i="16"/>
  <c r="N108" i="16"/>
  <c r="N109" i="16"/>
  <c r="N111" i="16"/>
  <c r="N112" i="16"/>
  <c r="N113" i="16"/>
  <c r="N114" i="16"/>
  <c r="L164" i="22"/>
  <c r="L165" i="22"/>
  <c r="L166" i="22"/>
  <c r="L167" i="22"/>
  <c r="L168" i="22"/>
  <c r="L169" i="22"/>
  <c r="L170" i="22"/>
  <c r="L171" i="22"/>
  <c r="L172" i="22"/>
  <c r="L173" i="22"/>
  <c r="L174" i="22"/>
  <c r="N115" i="16"/>
  <c r="N605" i="21"/>
  <c r="N606" i="21"/>
  <c r="N607" i="21"/>
  <c r="N608" i="21"/>
  <c r="N609" i="21"/>
  <c r="N610" i="21"/>
  <c r="N611" i="21"/>
  <c r="N612" i="21"/>
  <c r="N613" i="21"/>
  <c r="N614" i="21"/>
  <c r="N615" i="21"/>
  <c r="N618" i="21"/>
  <c r="N619" i="21"/>
  <c r="N620" i="21"/>
  <c r="N621" i="21"/>
  <c r="N622" i="21"/>
  <c r="N623" i="21"/>
  <c r="N624" i="21"/>
  <c r="N625" i="21"/>
  <c r="N626" i="21"/>
  <c r="N627" i="21"/>
  <c r="N628" i="21"/>
  <c r="N629" i="21"/>
  <c r="N116" i="16"/>
  <c r="N118" i="16"/>
  <c r="N119" i="16"/>
  <c r="N120" i="16"/>
  <c r="N121" i="16"/>
  <c r="N122" i="16"/>
  <c r="N123" i="16"/>
  <c r="M82" i="16"/>
  <c r="M91" i="16"/>
  <c r="M92" i="16"/>
  <c r="M99" i="16"/>
  <c r="M100" i="16"/>
  <c r="M101" i="16"/>
  <c r="M109" i="16"/>
  <c r="M114" i="16"/>
  <c r="M115" i="16"/>
  <c r="M122" i="16"/>
  <c r="M123" i="16"/>
  <c r="L82" i="16"/>
  <c r="L91" i="16"/>
  <c r="L92" i="16"/>
  <c r="L99" i="16"/>
  <c r="L100" i="16"/>
  <c r="L101" i="16"/>
  <c r="L109" i="16"/>
  <c r="L114" i="16"/>
  <c r="L115" i="16"/>
  <c r="L122" i="16"/>
  <c r="L123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6" i="16"/>
  <c r="K87" i="16"/>
  <c r="K88" i="16"/>
  <c r="K89" i="16"/>
  <c r="K90" i="16"/>
  <c r="K91" i="16"/>
  <c r="K92" i="16"/>
  <c r="K96" i="16"/>
  <c r="K97" i="16"/>
  <c r="K98" i="16"/>
  <c r="K99" i="16"/>
  <c r="K100" i="16"/>
  <c r="K101" i="16"/>
  <c r="K106" i="16"/>
  <c r="K107" i="16"/>
  <c r="K108" i="16"/>
  <c r="K109" i="16"/>
  <c r="K111" i="16"/>
  <c r="K112" i="16"/>
  <c r="K113" i="16"/>
  <c r="K114" i="16"/>
  <c r="K164" i="22"/>
  <c r="K174" i="22"/>
  <c r="K115" i="16"/>
  <c r="K122" i="16"/>
  <c r="K123" i="16"/>
  <c r="M121" i="16"/>
  <c r="L121" i="16"/>
  <c r="K118" i="16"/>
  <c r="K119" i="16"/>
  <c r="K120" i="16"/>
  <c r="K121" i="16"/>
  <c r="M116" i="16"/>
  <c r="L116" i="16"/>
  <c r="M605" i="21"/>
  <c r="M615" i="21"/>
  <c r="M629" i="21"/>
  <c r="K116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V81" i="16"/>
  <c r="W81" i="16"/>
  <c r="Q81" i="16"/>
  <c r="V80" i="16"/>
  <c r="W80" i="16"/>
  <c r="Q80" i="16"/>
  <c r="P80" i="16"/>
  <c r="V79" i="16"/>
  <c r="W79" i="16"/>
  <c r="Q79" i="16"/>
  <c r="P79" i="16"/>
  <c r="V78" i="16"/>
  <c r="W78" i="16"/>
  <c r="Q78" i="16"/>
  <c r="P78" i="16"/>
  <c r="V77" i="16"/>
  <c r="W77" i="16"/>
  <c r="Q77" i="16"/>
  <c r="P77" i="16"/>
  <c r="V76" i="16"/>
  <c r="W76" i="16"/>
  <c r="Q76" i="16"/>
  <c r="P76" i="16"/>
  <c r="V75" i="16"/>
  <c r="W75" i="16"/>
  <c r="Q75" i="16"/>
  <c r="P75" i="16"/>
  <c r="V74" i="16"/>
  <c r="W74" i="16"/>
  <c r="Q74" i="16"/>
  <c r="P74" i="16"/>
  <c r="V73" i="16"/>
  <c r="W73" i="16"/>
  <c r="Q73" i="16"/>
  <c r="P73" i="16"/>
  <c r="V72" i="16"/>
  <c r="W72" i="16"/>
  <c r="Q72" i="16"/>
  <c r="P72" i="16"/>
  <c r="V71" i="16"/>
  <c r="W71" i="16"/>
  <c r="Q71" i="16"/>
  <c r="P71" i="16"/>
  <c r="V70" i="16"/>
  <c r="W70" i="16"/>
  <c r="Q70" i="16"/>
  <c r="P70" i="16"/>
  <c r="V69" i="16"/>
  <c r="W69" i="16"/>
  <c r="Q69" i="16"/>
  <c r="P69" i="16"/>
  <c r="V68" i="16"/>
  <c r="W68" i="16"/>
  <c r="Q68" i="16"/>
  <c r="P68" i="16"/>
  <c r="V67" i="16"/>
  <c r="W67" i="16"/>
  <c r="Q67" i="16"/>
  <c r="P67" i="16"/>
  <c r="V66" i="16"/>
  <c r="W66" i="16"/>
  <c r="Q66" i="16"/>
  <c r="P66" i="16"/>
  <c r="V65" i="16"/>
  <c r="W65" i="16"/>
  <c r="Q65" i="16"/>
  <c r="P65" i="16"/>
  <c r="V64" i="16"/>
  <c r="W64" i="16"/>
  <c r="Q64" i="16"/>
  <c r="P64" i="16"/>
  <c r="V63" i="16"/>
  <c r="W63" i="16"/>
  <c r="Q63" i="16"/>
  <c r="P63" i="16"/>
  <c r="V62" i="16"/>
  <c r="W62" i="16"/>
  <c r="Q62" i="16"/>
  <c r="P62" i="16"/>
  <c r="V61" i="16"/>
  <c r="W61" i="16"/>
  <c r="Q61" i="16"/>
  <c r="P61" i="16"/>
  <c r="P60" i="16"/>
  <c r="P57" i="16"/>
  <c r="N27" i="16"/>
  <c r="N38" i="16"/>
  <c r="N39" i="16"/>
  <c r="N55" i="16" s="1"/>
  <c r="V34" i="16" s="1"/>
  <c r="N46" i="16"/>
  <c r="L80" i="22"/>
  <c r="N47" i="16"/>
  <c r="N48" i="16"/>
  <c r="N53" i="16"/>
  <c r="N54" i="16"/>
  <c r="M39" i="16"/>
  <c r="M54" i="16"/>
  <c r="M55" i="16"/>
  <c r="L39" i="16"/>
  <c r="L54" i="16"/>
  <c r="L55" i="16"/>
  <c r="V26" i="16"/>
  <c r="W26" i="16"/>
  <c r="Q26" i="16"/>
  <c r="V25" i="16"/>
  <c r="W25" i="16"/>
  <c r="Q25" i="16"/>
  <c r="P25" i="16"/>
  <c r="V24" i="16"/>
  <c r="W24" i="16"/>
  <c r="Q24" i="16"/>
  <c r="P24" i="16"/>
  <c r="V23" i="16"/>
  <c r="W23" i="16"/>
  <c r="Q23" i="16"/>
  <c r="P23" i="16"/>
  <c r="V22" i="16"/>
  <c r="W22" i="16"/>
  <c r="Q22" i="16"/>
  <c r="P22" i="16"/>
  <c r="V21" i="16"/>
  <c r="W21" i="16"/>
  <c r="Q21" i="16"/>
  <c r="P21" i="16"/>
  <c r="V20" i="16"/>
  <c r="W20" i="16"/>
  <c r="Q20" i="16"/>
  <c r="P20" i="16"/>
  <c r="V19" i="16"/>
  <c r="W19" i="16"/>
  <c r="Q19" i="16"/>
  <c r="P19" i="16"/>
  <c r="V18" i="16"/>
  <c r="W18" i="16"/>
  <c r="Q18" i="16"/>
  <c r="P18" i="16"/>
  <c r="V17" i="16"/>
  <c r="W17" i="16"/>
  <c r="Q17" i="16"/>
  <c r="P17" i="16"/>
  <c r="V16" i="16"/>
  <c r="W16" i="16"/>
  <c r="Q16" i="16"/>
  <c r="P16" i="16"/>
  <c r="V15" i="16"/>
  <c r="W15" i="16"/>
  <c r="Q15" i="16"/>
  <c r="P15" i="16"/>
  <c r="V14" i="16"/>
  <c r="W14" i="16"/>
  <c r="Q14" i="16"/>
  <c r="P14" i="16"/>
  <c r="V13" i="16"/>
  <c r="W13" i="16"/>
  <c r="Q13" i="16"/>
  <c r="P13" i="16"/>
  <c r="V12" i="16"/>
  <c r="W12" i="16"/>
  <c r="Q12" i="16"/>
  <c r="P12" i="16"/>
  <c r="V11" i="16"/>
  <c r="W11" i="16"/>
  <c r="Q11" i="16"/>
  <c r="P11" i="16"/>
  <c r="V10" i="16"/>
  <c r="W10" i="16"/>
  <c r="Q10" i="16"/>
  <c r="P10" i="16"/>
  <c r="Q9" i="16"/>
  <c r="P9" i="16"/>
  <c r="Q8" i="16"/>
  <c r="P8" i="16"/>
  <c r="Q7" i="16"/>
  <c r="P7" i="16"/>
  <c r="V6" i="16"/>
  <c r="I11" i="43" s="1"/>
  <c r="Q6" i="16"/>
  <c r="P6" i="16"/>
  <c r="P5" i="16"/>
  <c r="P2" i="16"/>
  <c r="DC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64" i="6"/>
  <c r="G90" i="6"/>
  <c r="G89" i="6"/>
  <c r="DC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66" i="6"/>
  <c r="G88" i="6"/>
  <c r="G87" i="6"/>
  <c r="DC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38" i="6"/>
  <c r="G82" i="6"/>
  <c r="G83" i="6"/>
  <c r="DC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37" i="6"/>
  <c r="G80" i="6"/>
  <c r="G81" i="6"/>
  <c r="G79" i="6"/>
  <c r="G78" i="6"/>
  <c r="G77" i="6"/>
  <c r="G76" i="6"/>
  <c r="G75" i="6"/>
  <c r="G74" i="6"/>
  <c r="G73" i="6"/>
  <c r="G72" i="6"/>
  <c r="DC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20" i="6"/>
  <c r="G67" i="6"/>
  <c r="DC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19" i="6"/>
  <c r="G65" i="6"/>
  <c r="G63" i="6"/>
  <c r="G62" i="6"/>
  <c r="G61" i="6"/>
  <c r="G60" i="6"/>
  <c r="G59" i="6"/>
  <c r="G58" i="6"/>
  <c r="G57" i="6"/>
  <c r="G56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G36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G35" i="6"/>
  <c r="G34" i="6"/>
  <c r="G33" i="6"/>
  <c r="G32" i="6"/>
  <c r="G31" i="6"/>
  <c r="G30" i="6"/>
  <c r="G29" i="6"/>
  <c r="G28" i="6"/>
  <c r="G27" i="6"/>
  <c r="G26" i="6"/>
  <c r="G18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G17" i="6"/>
  <c r="G16" i="6"/>
  <c r="G15" i="6"/>
  <c r="G14" i="6"/>
  <c r="G13" i="6"/>
  <c r="G12" i="6"/>
  <c r="G11" i="6"/>
  <c r="G10" i="6"/>
  <c r="G9" i="6"/>
  <c r="G8" i="6"/>
  <c r="G7" i="6"/>
  <c r="G6" i="6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4" i="5"/>
  <c r="N116" i="5"/>
  <c r="N117" i="5"/>
  <c r="N118" i="5"/>
  <c r="N119" i="5"/>
  <c r="N120" i="5"/>
  <c r="N121" i="5"/>
  <c r="N122" i="5"/>
  <c r="N124" i="5"/>
  <c r="N126" i="5"/>
  <c r="N127" i="5"/>
  <c r="N128" i="5"/>
  <c r="N129" i="5"/>
  <c r="N130" i="5"/>
  <c r="N131" i="5"/>
  <c r="N134" i="5"/>
  <c r="N136" i="5"/>
  <c r="N137" i="5"/>
  <c r="N138" i="5"/>
  <c r="N139" i="5"/>
  <c r="N141" i="5"/>
  <c r="N142" i="5"/>
  <c r="N143" i="5"/>
  <c r="N144" i="5"/>
  <c r="L99" i="22"/>
  <c r="L100" i="22"/>
  <c r="L101" i="22"/>
  <c r="L102" i="22"/>
  <c r="L103" i="22"/>
  <c r="L104" i="22"/>
  <c r="L105" i="22"/>
  <c r="L106" i="22"/>
  <c r="L107" i="22"/>
  <c r="L108" i="22"/>
  <c r="L109" i="22"/>
  <c r="N145" i="5"/>
  <c r="N146" i="5"/>
  <c r="N148" i="5"/>
  <c r="N149" i="5"/>
  <c r="N150" i="5"/>
  <c r="N151" i="5"/>
  <c r="N152" i="5"/>
  <c r="N153" i="5"/>
  <c r="M112" i="5"/>
  <c r="M121" i="5"/>
  <c r="M122" i="5"/>
  <c r="M129" i="5"/>
  <c r="M130" i="5"/>
  <c r="M131" i="5"/>
  <c r="M139" i="5"/>
  <c r="M144" i="5"/>
  <c r="M145" i="5"/>
  <c r="M152" i="5"/>
  <c r="M153" i="5"/>
  <c r="L112" i="5"/>
  <c r="L121" i="5"/>
  <c r="L122" i="5"/>
  <c r="L129" i="5"/>
  <c r="L130" i="5"/>
  <c r="L131" i="5"/>
  <c r="L139" i="5"/>
  <c r="L144" i="5"/>
  <c r="L145" i="5"/>
  <c r="L152" i="5"/>
  <c r="L153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6" i="5"/>
  <c r="K117" i="5"/>
  <c r="K118" i="5"/>
  <c r="K119" i="5"/>
  <c r="K120" i="5"/>
  <c r="K121" i="5"/>
  <c r="K122" i="5"/>
  <c r="K126" i="5"/>
  <c r="K127" i="5"/>
  <c r="K128" i="5"/>
  <c r="K129" i="5"/>
  <c r="K130" i="5"/>
  <c r="K131" i="5"/>
  <c r="K136" i="5"/>
  <c r="K137" i="5"/>
  <c r="K138" i="5"/>
  <c r="K139" i="5"/>
  <c r="K141" i="5"/>
  <c r="K142" i="5"/>
  <c r="K143" i="5"/>
  <c r="K144" i="5"/>
  <c r="K99" i="22"/>
  <c r="K109" i="22"/>
  <c r="K145" i="5"/>
  <c r="K152" i="5"/>
  <c r="K153" i="5"/>
  <c r="M151" i="5"/>
  <c r="L151" i="5"/>
  <c r="K148" i="5"/>
  <c r="K149" i="5"/>
  <c r="K150" i="5"/>
  <c r="K151" i="5"/>
  <c r="M146" i="5"/>
  <c r="L146" i="5"/>
  <c r="K146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V111" i="5"/>
  <c r="W111" i="5"/>
  <c r="Q111" i="5"/>
  <c r="V110" i="5"/>
  <c r="W110" i="5"/>
  <c r="Q110" i="5"/>
  <c r="P110" i="5"/>
  <c r="V109" i="5"/>
  <c r="W109" i="5"/>
  <c r="Q109" i="5"/>
  <c r="P109" i="5"/>
  <c r="V108" i="5"/>
  <c r="W108" i="5"/>
  <c r="Q108" i="5"/>
  <c r="P108" i="5"/>
  <c r="V107" i="5"/>
  <c r="W107" i="5"/>
  <c r="Q107" i="5"/>
  <c r="P107" i="5"/>
  <c r="V106" i="5"/>
  <c r="W106" i="5"/>
  <c r="Q106" i="5"/>
  <c r="P106" i="5"/>
  <c r="V105" i="5"/>
  <c r="W105" i="5"/>
  <c r="Q105" i="5"/>
  <c r="P105" i="5"/>
  <c r="V104" i="5"/>
  <c r="W104" i="5"/>
  <c r="Q104" i="5"/>
  <c r="P104" i="5"/>
  <c r="V103" i="5"/>
  <c r="W103" i="5"/>
  <c r="Q103" i="5"/>
  <c r="P103" i="5"/>
  <c r="V102" i="5"/>
  <c r="W102" i="5"/>
  <c r="Q102" i="5"/>
  <c r="P102" i="5"/>
  <c r="V101" i="5"/>
  <c r="W101" i="5"/>
  <c r="Q101" i="5"/>
  <c r="P101" i="5"/>
  <c r="V100" i="5"/>
  <c r="W100" i="5"/>
  <c r="Q100" i="5"/>
  <c r="P100" i="5"/>
  <c r="V99" i="5"/>
  <c r="W99" i="5"/>
  <c r="Q99" i="5"/>
  <c r="P99" i="5"/>
  <c r="V98" i="5"/>
  <c r="W98" i="5"/>
  <c r="Q98" i="5"/>
  <c r="P98" i="5"/>
  <c r="V97" i="5"/>
  <c r="W97" i="5"/>
  <c r="Q97" i="5"/>
  <c r="P97" i="5"/>
  <c r="V96" i="5"/>
  <c r="W96" i="5"/>
  <c r="Q96" i="5"/>
  <c r="P96" i="5"/>
  <c r="V95" i="5"/>
  <c r="W95" i="5"/>
  <c r="Q95" i="5"/>
  <c r="P95" i="5"/>
  <c r="V94" i="5"/>
  <c r="W94" i="5"/>
  <c r="Q94" i="5"/>
  <c r="P94" i="5"/>
  <c r="V93" i="5"/>
  <c r="W93" i="5"/>
  <c r="Q93" i="5"/>
  <c r="P93" i="5"/>
  <c r="V92" i="5"/>
  <c r="W92" i="5"/>
  <c r="Q92" i="5"/>
  <c r="P92" i="5"/>
  <c r="V91" i="5"/>
  <c r="W91" i="5"/>
  <c r="Q91" i="5"/>
  <c r="P91" i="5"/>
  <c r="V90" i="5"/>
  <c r="W90" i="5"/>
  <c r="Q90" i="5"/>
  <c r="P90" i="5"/>
  <c r="V89" i="5"/>
  <c r="W89" i="5"/>
  <c r="Q89" i="5"/>
  <c r="P89" i="5"/>
  <c r="V88" i="5"/>
  <c r="W88" i="5"/>
  <c r="Q88" i="5"/>
  <c r="P88" i="5"/>
  <c r="V87" i="5"/>
  <c r="W87" i="5"/>
  <c r="Q87" i="5"/>
  <c r="P87" i="5"/>
  <c r="V86" i="5"/>
  <c r="W86" i="5"/>
  <c r="Q86" i="5"/>
  <c r="P86" i="5"/>
  <c r="V85" i="5"/>
  <c r="W85" i="5"/>
  <c r="Q85" i="5"/>
  <c r="P85" i="5"/>
  <c r="V84" i="5"/>
  <c r="W84" i="5"/>
  <c r="Q84" i="5"/>
  <c r="P84" i="5"/>
  <c r="V83" i="5"/>
  <c r="W83" i="5"/>
  <c r="Q83" i="5"/>
  <c r="P83" i="5"/>
  <c r="V82" i="5"/>
  <c r="W82" i="5"/>
  <c r="Q82" i="5"/>
  <c r="P82" i="5"/>
  <c r="V81" i="5"/>
  <c r="W81" i="5"/>
  <c r="Q81" i="5"/>
  <c r="P81" i="5"/>
  <c r="V80" i="5"/>
  <c r="W80" i="5"/>
  <c r="Q80" i="5"/>
  <c r="P80" i="5"/>
  <c r="V79" i="5"/>
  <c r="W79" i="5"/>
  <c r="Q79" i="5"/>
  <c r="P79" i="5"/>
  <c r="V78" i="5"/>
  <c r="W78" i="5"/>
  <c r="Q78" i="5"/>
  <c r="P78" i="5"/>
  <c r="V77" i="5"/>
  <c r="W77" i="5"/>
  <c r="Q77" i="5"/>
  <c r="P77" i="5"/>
  <c r="V76" i="5"/>
  <c r="W76" i="5"/>
  <c r="Q76" i="5"/>
  <c r="P76" i="5"/>
  <c r="V75" i="5"/>
  <c r="W75" i="5"/>
  <c r="Q75" i="5"/>
  <c r="P75" i="5"/>
  <c r="V74" i="5"/>
  <c r="W74" i="5"/>
  <c r="Q74" i="5"/>
  <c r="P74" i="5"/>
  <c r="V73" i="5"/>
  <c r="W73" i="5"/>
  <c r="Q73" i="5"/>
  <c r="P73" i="5"/>
  <c r="V72" i="5"/>
  <c r="W72" i="5"/>
  <c r="Q72" i="5"/>
  <c r="P72" i="5"/>
  <c r="V71" i="5"/>
  <c r="W71" i="5"/>
  <c r="Q71" i="5"/>
  <c r="P71" i="5"/>
  <c r="V70" i="5"/>
  <c r="W70" i="5"/>
  <c r="Q70" i="5"/>
  <c r="P70" i="5"/>
  <c r="V69" i="5"/>
  <c r="W69" i="5"/>
  <c r="Q69" i="5"/>
  <c r="P69" i="5"/>
  <c r="V68" i="5"/>
  <c r="W68" i="5"/>
  <c r="Q68" i="5"/>
  <c r="P68" i="5"/>
  <c r="V67" i="5"/>
  <c r="W67" i="5"/>
  <c r="Q67" i="5"/>
  <c r="P67" i="5"/>
  <c r="V66" i="5"/>
  <c r="W66" i="5"/>
  <c r="Q66" i="5"/>
  <c r="P66" i="5"/>
  <c r="V65" i="5"/>
  <c r="W65" i="5"/>
  <c r="Q65" i="5"/>
  <c r="P65" i="5"/>
  <c r="V64" i="5"/>
  <c r="W64" i="5"/>
  <c r="Q64" i="5"/>
  <c r="P64" i="5"/>
  <c r="V63" i="5"/>
  <c r="W63" i="5"/>
  <c r="Q63" i="5"/>
  <c r="P63" i="5"/>
  <c r="V62" i="5"/>
  <c r="W62" i="5"/>
  <c r="Q62" i="5"/>
  <c r="P62" i="5"/>
  <c r="V61" i="5"/>
  <c r="W61" i="5"/>
  <c r="Q61" i="5"/>
  <c r="P61" i="5"/>
  <c r="P60" i="5"/>
  <c r="P57" i="5"/>
  <c r="N27" i="5"/>
  <c r="N38" i="5"/>
  <c r="N39" i="5"/>
  <c r="N53" i="5"/>
  <c r="L15" i="22"/>
  <c r="N47" i="5"/>
  <c r="N46" i="5"/>
  <c r="N48" i="5"/>
  <c r="N54" i="5"/>
  <c r="N55" i="5"/>
  <c r="M54" i="5"/>
  <c r="M39" i="5"/>
  <c r="M55" i="5"/>
  <c r="L39" i="5"/>
  <c r="L54" i="5"/>
  <c r="L55" i="5"/>
  <c r="K39" i="5"/>
  <c r="K55" i="5"/>
  <c r="V26" i="5"/>
  <c r="W26" i="5"/>
  <c r="Q26" i="5"/>
  <c r="V25" i="5"/>
  <c r="W25" i="5"/>
  <c r="Q25" i="5"/>
  <c r="P25" i="5"/>
  <c r="V24" i="5"/>
  <c r="W24" i="5"/>
  <c r="Q24" i="5"/>
  <c r="P24" i="5"/>
  <c r="V23" i="5"/>
  <c r="W23" i="5"/>
  <c r="Q23" i="5"/>
  <c r="P23" i="5"/>
  <c r="V22" i="5"/>
  <c r="W22" i="5"/>
  <c r="Q22" i="5"/>
  <c r="P22" i="5"/>
  <c r="V21" i="5"/>
  <c r="W21" i="5"/>
  <c r="Q21" i="5"/>
  <c r="P21" i="5"/>
  <c r="V20" i="5"/>
  <c r="W20" i="5"/>
  <c r="Q20" i="5"/>
  <c r="P20" i="5"/>
  <c r="V19" i="5"/>
  <c r="W19" i="5"/>
  <c r="Q19" i="5"/>
  <c r="P19" i="5"/>
  <c r="V18" i="5"/>
  <c r="W18" i="5"/>
  <c r="Q18" i="5"/>
  <c r="P18" i="5"/>
  <c r="V17" i="5"/>
  <c r="W17" i="5"/>
  <c r="Q17" i="5"/>
  <c r="P17" i="5"/>
  <c r="V16" i="5"/>
  <c r="W16" i="5"/>
  <c r="Q16" i="5"/>
  <c r="P16" i="5"/>
  <c r="V15" i="5"/>
  <c r="W15" i="5"/>
  <c r="Q15" i="5"/>
  <c r="P15" i="5"/>
  <c r="V14" i="5"/>
  <c r="W14" i="5"/>
  <c r="Q14" i="5"/>
  <c r="P14" i="5"/>
  <c r="V13" i="5"/>
  <c r="W13" i="5"/>
  <c r="Q13" i="5"/>
  <c r="P13" i="5"/>
  <c r="V12" i="5"/>
  <c r="W12" i="5"/>
  <c r="Q12" i="5"/>
  <c r="P12" i="5"/>
  <c r="V11" i="5"/>
  <c r="W11" i="5"/>
  <c r="Q11" i="5"/>
  <c r="P11" i="5"/>
  <c r="V10" i="5"/>
  <c r="W10" i="5"/>
  <c r="Q10" i="5"/>
  <c r="P10" i="5"/>
  <c r="Q9" i="5"/>
  <c r="P9" i="5"/>
  <c r="V8" i="5"/>
  <c r="W8" i="5"/>
  <c r="Q8" i="5"/>
  <c r="P8" i="5"/>
  <c r="Q7" i="5"/>
  <c r="P7" i="5"/>
  <c r="V6" i="5"/>
  <c r="W6" i="5"/>
  <c r="Q6" i="5"/>
  <c r="P6" i="5"/>
  <c r="P5" i="5"/>
  <c r="P2" i="5"/>
  <c r="L138" i="22"/>
  <c r="L139" i="22"/>
  <c r="L140" i="22"/>
  <c r="L141" i="22"/>
  <c r="L142" i="22"/>
  <c r="L143" i="22"/>
  <c r="L144" i="22"/>
  <c r="L145" i="22"/>
  <c r="L146" i="22"/>
  <c r="L147" i="22"/>
  <c r="L148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K188" i="22"/>
  <c r="K177" i="22"/>
  <c r="K187" i="22"/>
  <c r="K186" i="22"/>
  <c r="K185" i="22"/>
  <c r="K184" i="22"/>
  <c r="K183" i="22"/>
  <c r="K182" i="22"/>
  <c r="K181" i="22"/>
  <c r="K180" i="22"/>
  <c r="K179" i="22"/>
  <c r="K178" i="22"/>
  <c r="K173" i="22"/>
  <c r="K172" i="22"/>
  <c r="K171" i="22"/>
  <c r="K170" i="22"/>
  <c r="K169" i="22"/>
  <c r="K168" i="22"/>
  <c r="K167" i="22"/>
  <c r="K166" i="22"/>
  <c r="K165" i="22"/>
  <c r="K160" i="22"/>
  <c r="K159" i="22"/>
  <c r="K158" i="22"/>
  <c r="K157" i="22"/>
  <c r="K156" i="22"/>
  <c r="K155" i="22"/>
  <c r="K154" i="22"/>
  <c r="K153" i="22"/>
  <c r="K152" i="22"/>
  <c r="K138" i="22"/>
  <c r="K148" i="22"/>
  <c r="K147" i="22"/>
  <c r="K146" i="22"/>
  <c r="K145" i="22"/>
  <c r="K144" i="22"/>
  <c r="K143" i="22"/>
  <c r="K142" i="22"/>
  <c r="K141" i="22"/>
  <c r="K140" i="22"/>
  <c r="K139" i="22"/>
  <c r="K134" i="22"/>
  <c r="K133" i="22"/>
  <c r="K132" i="22"/>
  <c r="K131" i="22"/>
  <c r="K130" i="22"/>
  <c r="K129" i="22"/>
  <c r="K128" i="22"/>
  <c r="K127" i="22"/>
  <c r="K126" i="22"/>
  <c r="K121" i="22"/>
  <c r="K120" i="22"/>
  <c r="K119" i="22"/>
  <c r="K118" i="22"/>
  <c r="K117" i="22"/>
  <c r="K116" i="22"/>
  <c r="K115" i="22"/>
  <c r="K114" i="22"/>
  <c r="K113" i="22"/>
  <c r="K108" i="22"/>
  <c r="K107" i="22"/>
  <c r="K106" i="22"/>
  <c r="K105" i="22"/>
  <c r="K104" i="22"/>
  <c r="K103" i="22"/>
  <c r="K102" i="22"/>
  <c r="K101" i="22"/>
  <c r="K100" i="22"/>
  <c r="L94" i="22"/>
  <c r="N549" i="21"/>
  <c r="N550" i="21"/>
  <c r="N551" i="21"/>
  <c r="N552" i="21"/>
  <c r="N553" i="21"/>
  <c r="N554" i="21"/>
  <c r="N555" i="21"/>
  <c r="N556" i="21"/>
  <c r="N557" i="21"/>
  <c r="N558" i="21"/>
  <c r="N559" i="21"/>
  <c r="N562" i="21"/>
  <c r="N563" i="21"/>
  <c r="N564" i="21"/>
  <c r="N565" i="21"/>
  <c r="N566" i="21"/>
  <c r="N567" i="21"/>
  <c r="N568" i="21"/>
  <c r="N569" i="21"/>
  <c r="N570" i="21"/>
  <c r="N571" i="21"/>
  <c r="N572" i="21"/>
  <c r="N573" i="21"/>
  <c r="N633" i="21"/>
  <c r="N634" i="21"/>
  <c r="N635" i="21"/>
  <c r="N636" i="21"/>
  <c r="N637" i="21"/>
  <c r="N638" i="21"/>
  <c r="N639" i="21"/>
  <c r="N640" i="21"/>
  <c r="N641" i="21"/>
  <c r="N642" i="21"/>
  <c r="N643" i="21"/>
  <c r="N646" i="21"/>
  <c r="N647" i="21"/>
  <c r="N648" i="21"/>
  <c r="N649" i="21"/>
  <c r="N650" i="21"/>
  <c r="N651" i="21"/>
  <c r="N652" i="21"/>
  <c r="N653" i="21"/>
  <c r="N654" i="21"/>
  <c r="N655" i="21"/>
  <c r="N656" i="21"/>
  <c r="N657" i="21"/>
  <c r="N658" i="21"/>
  <c r="M658" i="21"/>
  <c r="M633" i="21"/>
  <c r="M643" i="21"/>
  <c r="M657" i="21"/>
  <c r="M646" i="21"/>
  <c r="M656" i="21"/>
  <c r="M655" i="21"/>
  <c r="K655" i="21"/>
  <c r="M654" i="21"/>
  <c r="K654" i="21"/>
  <c r="M653" i="21"/>
  <c r="K653" i="21"/>
  <c r="M652" i="21"/>
  <c r="K652" i="21"/>
  <c r="M651" i="21"/>
  <c r="K651" i="21"/>
  <c r="M650" i="21"/>
  <c r="K650" i="21"/>
  <c r="M649" i="21"/>
  <c r="K649" i="21"/>
  <c r="M648" i="21"/>
  <c r="K648" i="21"/>
  <c r="M647" i="21"/>
  <c r="K647" i="21"/>
  <c r="K646" i="21"/>
  <c r="M642" i="21"/>
  <c r="K642" i="21"/>
  <c r="M641" i="21"/>
  <c r="K641" i="21"/>
  <c r="M640" i="21"/>
  <c r="K640" i="21"/>
  <c r="M639" i="21"/>
  <c r="K639" i="21"/>
  <c r="M638" i="21"/>
  <c r="K638" i="21"/>
  <c r="M637" i="21"/>
  <c r="K637" i="21"/>
  <c r="M636" i="21"/>
  <c r="K636" i="21"/>
  <c r="M635" i="21"/>
  <c r="K635" i="21"/>
  <c r="M634" i="21"/>
  <c r="K634" i="21"/>
  <c r="K633" i="21"/>
  <c r="M618" i="21"/>
  <c r="M628" i="21"/>
  <c r="M627" i="21"/>
  <c r="K627" i="21"/>
  <c r="M626" i="21"/>
  <c r="K626" i="21"/>
  <c r="M625" i="21"/>
  <c r="K625" i="21"/>
  <c r="M624" i="21"/>
  <c r="K624" i="21"/>
  <c r="M623" i="21"/>
  <c r="K623" i="21"/>
  <c r="M622" i="21"/>
  <c r="K622" i="21"/>
  <c r="M621" i="21"/>
  <c r="K621" i="21"/>
  <c r="M620" i="21"/>
  <c r="K620" i="21"/>
  <c r="M619" i="21"/>
  <c r="K619" i="21"/>
  <c r="K618" i="21"/>
  <c r="M614" i="21"/>
  <c r="K614" i="21"/>
  <c r="M613" i="21"/>
  <c r="K613" i="21"/>
  <c r="M612" i="21"/>
  <c r="K612" i="21"/>
  <c r="M611" i="21"/>
  <c r="K611" i="21"/>
  <c r="M610" i="21"/>
  <c r="K610" i="21"/>
  <c r="M609" i="21"/>
  <c r="K609" i="21"/>
  <c r="M608" i="21"/>
  <c r="K608" i="21"/>
  <c r="M607" i="21"/>
  <c r="K607" i="21"/>
  <c r="M606" i="21"/>
  <c r="K606" i="21"/>
  <c r="K605" i="21"/>
  <c r="M590" i="21"/>
  <c r="M600" i="21"/>
  <c r="M599" i="21"/>
  <c r="K599" i="21"/>
  <c r="M598" i="21"/>
  <c r="K598" i="21"/>
  <c r="M597" i="21"/>
  <c r="K597" i="21"/>
  <c r="M596" i="21"/>
  <c r="K596" i="21"/>
  <c r="M595" i="21"/>
  <c r="K595" i="21"/>
  <c r="M594" i="21"/>
  <c r="K594" i="21"/>
  <c r="M593" i="21"/>
  <c r="K593" i="21"/>
  <c r="M592" i="21"/>
  <c r="K592" i="21"/>
  <c r="M591" i="21"/>
  <c r="K591" i="21"/>
  <c r="K590" i="21"/>
  <c r="M586" i="21"/>
  <c r="K586" i="21"/>
  <c r="M585" i="21"/>
  <c r="K585" i="21"/>
  <c r="M584" i="21"/>
  <c r="K584" i="21"/>
  <c r="M583" i="21"/>
  <c r="K583" i="21"/>
  <c r="M582" i="21"/>
  <c r="K582" i="21"/>
  <c r="M581" i="21"/>
  <c r="K581" i="21"/>
  <c r="M580" i="21"/>
  <c r="K580" i="21"/>
  <c r="M579" i="21"/>
  <c r="K579" i="21"/>
  <c r="M578" i="21"/>
  <c r="K578" i="21"/>
  <c r="K577" i="21"/>
  <c r="M549" i="21"/>
  <c r="M559" i="21"/>
  <c r="M573" i="21"/>
  <c r="M562" i="21"/>
  <c r="M572" i="21"/>
  <c r="M571" i="21"/>
  <c r="K571" i="21"/>
  <c r="M570" i="21"/>
  <c r="K570" i="21"/>
  <c r="M569" i="21"/>
  <c r="K569" i="21"/>
  <c r="M568" i="21"/>
  <c r="K568" i="21"/>
  <c r="M567" i="21"/>
  <c r="K567" i="21"/>
  <c r="M566" i="21"/>
  <c r="K566" i="21"/>
  <c r="M565" i="21"/>
  <c r="K565" i="21"/>
  <c r="M564" i="21"/>
  <c r="K564" i="21"/>
  <c r="M563" i="21"/>
  <c r="K563" i="21"/>
  <c r="K562" i="21"/>
  <c r="M558" i="21"/>
  <c r="K558" i="21"/>
  <c r="M557" i="21"/>
  <c r="K557" i="21"/>
  <c r="M556" i="21"/>
  <c r="K556" i="21"/>
  <c r="M555" i="21"/>
  <c r="K555" i="21"/>
  <c r="M554" i="21"/>
  <c r="K554" i="21"/>
  <c r="M553" i="21"/>
  <c r="K553" i="21"/>
  <c r="M552" i="21"/>
  <c r="K552" i="21"/>
  <c r="M551" i="21"/>
  <c r="K551" i="21"/>
  <c r="M550" i="21"/>
  <c r="K550" i="21"/>
  <c r="K549" i="21"/>
  <c r="M534" i="21"/>
  <c r="M544" i="21"/>
  <c r="M543" i="21"/>
  <c r="K543" i="21"/>
  <c r="M542" i="21"/>
  <c r="K542" i="21"/>
  <c r="M541" i="21"/>
  <c r="K541" i="21"/>
  <c r="M540" i="21"/>
  <c r="K540" i="21"/>
  <c r="M539" i="21"/>
  <c r="K539" i="21"/>
  <c r="M538" i="21"/>
  <c r="K538" i="21"/>
  <c r="M537" i="21"/>
  <c r="K537" i="21"/>
  <c r="M536" i="21"/>
  <c r="K536" i="21"/>
  <c r="M535" i="21"/>
  <c r="K535" i="21"/>
  <c r="K534" i="21"/>
  <c r="M530" i="21"/>
  <c r="K530" i="21"/>
  <c r="M529" i="21"/>
  <c r="K529" i="21"/>
  <c r="M528" i="21"/>
  <c r="K528" i="21"/>
  <c r="M527" i="21"/>
  <c r="K527" i="21"/>
  <c r="M526" i="21"/>
  <c r="K526" i="21"/>
  <c r="M525" i="21"/>
  <c r="K525" i="21"/>
  <c r="M524" i="21"/>
  <c r="K524" i="21"/>
  <c r="M77" i="21"/>
  <c r="M76" i="21"/>
  <c r="M75" i="21"/>
  <c r="M74" i="21"/>
  <c r="M73" i="21"/>
  <c r="M72" i="21"/>
  <c r="M71" i="21"/>
  <c r="M70" i="21"/>
  <c r="M69" i="21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6" i="21"/>
  <c r="D11" i="43"/>
  <c r="F11" i="43"/>
  <c r="H11" i="43"/>
  <c r="E11" i="43"/>
  <c r="G11" i="43"/>
  <c r="J11" i="43"/>
  <c r="J9" i="43"/>
  <c r="H9" i="43"/>
  <c r="G9" i="43"/>
  <c r="F9" i="43"/>
  <c r="E9" i="43"/>
  <c r="D9" i="43"/>
  <c r="J8" i="43"/>
  <c r="I8" i="43"/>
  <c r="H8" i="43"/>
  <c r="G8" i="43"/>
  <c r="F8" i="43"/>
  <c r="E8" i="43"/>
  <c r="D8" i="43"/>
  <c r="G10" i="3"/>
  <c r="G19" i="3"/>
  <c r="G20" i="3"/>
  <c r="AC39" i="29" s="1"/>
  <c r="F10" i="3"/>
  <c r="F19" i="3"/>
  <c r="F20" i="3"/>
  <c r="AC38" i="29" s="1"/>
  <c r="D30" i="2"/>
  <c r="D31" i="2"/>
  <c r="D32" i="2"/>
  <c r="D33" i="2"/>
  <c r="D34" i="2"/>
  <c r="D36" i="2"/>
  <c r="D37" i="2"/>
  <c r="D45" i="2"/>
  <c r="C30" i="2"/>
  <c r="C31" i="2"/>
  <c r="C32" i="2"/>
  <c r="C33" i="2"/>
  <c r="C34" i="2"/>
  <c r="C35" i="2"/>
  <c r="C36" i="2"/>
  <c r="C37" i="2"/>
  <c r="D44" i="2"/>
  <c r="I30" i="2"/>
  <c r="I31" i="2"/>
  <c r="I32" i="2"/>
  <c r="I37" i="2"/>
  <c r="E30" i="2"/>
  <c r="E31" i="2"/>
  <c r="E32" i="2"/>
  <c r="E37" i="2"/>
  <c r="I36" i="2"/>
  <c r="E36" i="2"/>
  <c r="I35" i="2"/>
  <c r="E35" i="2"/>
  <c r="I34" i="2"/>
  <c r="E34" i="2"/>
  <c r="I33" i="2"/>
  <c r="E33" i="2"/>
  <c r="U14" i="4"/>
  <c r="T8" i="4"/>
  <c r="W8" i="4"/>
  <c r="X8" i="4"/>
  <c r="D8" i="2"/>
  <c r="D9" i="2"/>
  <c r="D10" i="2"/>
  <c r="D13" i="2"/>
  <c r="C8" i="2"/>
  <c r="C9" i="2"/>
  <c r="C10" i="2"/>
  <c r="C13" i="2"/>
  <c r="K65" i="29"/>
  <c r="AX11" i="4"/>
  <c r="AZ11" i="4"/>
  <c r="AC63" i="29"/>
  <c r="AC62" i="29"/>
  <c r="L62" i="29"/>
  <c r="AC61" i="29"/>
  <c r="L61" i="29"/>
  <c r="AC60" i="29"/>
  <c r="L60" i="29"/>
  <c r="V35" i="29"/>
  <c r="V58" i="29"/>
  <c r="AS4" i="4"/>
  <c r="AS9" i="4"/>
  <c r="AS5" i="4"/>
  <c r="AS6" i="4"/>
  <c r="AS7" i="4"/>
  <c r="AS8" i="4"/>
  <c r="AS10" i="4"/>
  <c r="AS11" i="4"/>
  <c r="AU4" i="4"/>
  <c r="AU9" i="4"/>
  <c r="AU6" i="4"/>
  <c r="AU8" i="4"/>
  <c r="AU5" i="4"/>
  <c r="AU7" i="4"/>
  <c r="AU10" i="4"/>
  <c r="AU11" i="4"/>
  <c r="AC40" i="29" s="1"/>
  <c r="CV38" i="52"/>
  <c r="CU38" i="52"/>
  <c r="CT38" i="52"/>
  <c r="CQ38" i="52"/>
  <c r="CP38" i="52"/>
  <c r="CO38" i="52"/>
  <c r="CL38" i="52"/>
  <c r="CK38" i="52"/>
  <c r="CJ38" i="52"/>
  <c r="CG38" i="52"/>
  <c r="CF38" i="52"/>
  <c r="CE38" i="52"/>
  <c r="CB38" i="52"/>
  <c r="CA38" i="52"/>
  <c r="BZ38" i="52"/>
  <c r="BW38" i="52"/>
  <c r="BV38" i="52"/>
  <c r="BU38" i="52"/>
  <c r="BR38" i="52"/>
  <c r="BQ38" i="52"/>
  <c r="BP38" i="52"/>
  <c r="BM38" i="52"/>
  <c r="BL38" i="52"/>
  <c r="BK38" i="52"/>
  <c r="BH38" i="52"/>
  <c r="BG38" i="52"/>
  <c r="BF38" i="52"/>
  <c r="BC38" i="52"/>
  <c r="BB38" i="52"/>
  <c r="BA38" i="52"/>
  <c r="AX38" i="52"/>
  <c r="AW38" i="52"/>
  <c r="AV38" i="52"/>
  <c r="AS38" i="52"/>
  <c r="AR38" i="52"/>
  <c r="AQ38" i="52"/>
  <c r="AN38" i="52"/>
  <c r="AM38" i="52"/>
  <c r="AL38" i="52"/>
  <c r="AI38" i="52"/>
  <c r="AH38" i="52"/>
  <c r="AG38" i="52"/>
  <c r="AD38" i="52"/>
  <c r="AC38" i="52"/>
  <c r="AB38" i="52"/>
  <c r="Y38" i="52"/>
  <c r="X38" i="52"/>
  <c r="W38" i="52"/>
  <c r="T38" i="52"/>
  <c r="S38" i="52"/>
  <c r="R38" i="52"/>
  <c r="O38" i="52"/>
  <c r="N38" i="52"/>
  <c r="M38" i="52"/>
  <c r="J38" i="52"/>
  <c r="I38" i="52"/>
  <c r="H38" i="52"/>
  <c r="E38" i="52"/>
  <c r="D38" i="52"/>
  <c r="C38" i="52"/>
  <c r="CU22" i="52"/>
  <c r="CT22" i="52"/>
  <c r="CP22" i="52"/>
  <c r="CO22" i="52"/>
  <c r="CK22" i="52"/>
  <c r="CJ22" i="52"/>
  <c r="CF22" i="52"/>
  <c r="CE22" i="52"/>
  <c r="CA22" i="52"/>
  <c r="BZ22" i="52"/>
  <c r="BV22" i="52"/>
  <c r="BU22" i="52"/>
  <c r="BQ22" i="52"/>
  <c r="BP22" i="52"/>
  <c r="BL22" i="52"/>
  <c r="BK22" i="52"/>
  <c r="BG22" i="52"/>
  <c r="BF22" i="52"/>
  <c r="BB22" i="52"/>
  <c r="BA22" i="52"/>
  <c r="AW22" i="52"/>
  <c r="AV22" i="52"/>
  <c r="AR22" i="52"/>
  <c r="AQ22" i="52"/>
  <c r="AM22" i="52"/>
  <c r="AL22" i="52"/>
  <c r="AH22" i="52"/>
  <c r="AG22" i="52"/>
  <c r="AC22" i="52"/>
  <c r="AB22" i="52"/>
  <c r="X22" i="52"/>
  <c r="W22" i="52"/>
  <c r="S22" i="52"/>
  <c r="R22" i="52"/>
  <c r="N22" i="52"/>
  <c r="M22" i="52"/>
  <c r="I22" i="52"/>
  <c r="H22" i="52"/>
  <c r="C22" i="52"/>
  <c r="O18" i="27"/>
  <c r="AG7" i="26"/>
  <c r="G9" i="27" s="1"/>
  <c r="D389" i="36"/>
  <c r="E389" i="36"/>
  <c r="F389" i="36"/>
  <c r="D388" i="36"/>
  <c r="E388" i="36"/>
  <c r="F388" i="36"/>
  <c r="D387" i="36"/>
  <c r="E387" i="36"/>
  <c r="F387" i="36"/>
  <c r="D386" i="36"/>
  <c r="E386" i="36"/>
  <c r="F386" i="36"/>
  <c r="D385" i="36"/>
  <c r="E385" i="36"/>
  <c r="F385" i="36"/>
  <c r="D384" i="36"/>
  <c r="E384" i="36"/>
  <c r="F384" i="36"/>
  <c r="D383" i="36"/>
  <c r="E383" i="36"/>
  <c r="F383" i="36"/>
  <c r="D382" i="36"/>
  <c r="E382" i="36"/>
  <c r="F382" i="36"/>
  <c r="D381" i="36"/>
  <c r="E381" i="36"/>
  <c r="F381" i="36"/>
  <c r="D380" i="36"/>
  <c r="E380" i="36"/>
  <c r="F380" i="36"/>
  <c r="D379" i="36"/>
  <c r="E379" i="36"/>
  <c r="F379" i="36"/>
  <c r="D378" i="36"/>
  <c r="E378" i="36"/>
  <c r="F378" i="36"/>
  <c r="D377" i="36"/>
  <c r="E377" i="36"/>
  <c r="F377" i="36"/>
  <c r="D376" i="36"/>
  <c r="E376" i="36"/>
  <c r="F376" i="36"/>
  <c r="D375" i="36"/>
  <c r="E375" i="36"/>
  <c r="F375" i="36"/>
  <c r="D374" i="36"/>
  <c r="E374" i="36"/>
  <c r="F374" i="36"/>
  <c r="D373" i="36"/>
  <c r="E373" i="36"/>
  <c r="F373" i="36"/>
  <c r="D372" i="36"/>
  <c r="E372" i="36"/>
  <c r="F372" i="36"/>
  <c r="D371" i="36"/>
  <c r="E371" i="36"/>
  <c r="F371" i="36"/>
  <c r="D370" i="36"/>
  <c r="E370" i="36"/>
  <c r="F370" i="36"/>
  <c r="D369" i="36"/>
  <c r="E369" i="36"/>
  <c r="F369" i="36"/>
  <c r="D368" i="36"/>
  <c r="E368" i="36"/>
  <c r="F368" i="36"/>
  <c r="D367" i="36"/>
  <c r="E367" i="36"/>
  <c r="F367" i="36"/>
  <c r="D366" i="36"/>
  <c r="E366" i="36"/>
  <c r="F366" i="36"/>
  <c r="D365" i="36"/>
  <c r="E365" i="36"/>
  <c r="F365" i="36"/>
  <c r="D364" i="36"/>
  <c r="E364" i="36"/>
  <c r="F364" i="36"/>
  <c r="D363" i="36"/>
  <c r="E363" i="36"/>
  <c r="F363" i="36"/>
  <c r="D362" i="36"/>
  <c r="E362" i="36"/>
  <c r="F362" i="36"/>
  <c r="D361" i="36"/>
  <c r="E361" i="36"/>
  <c r="F361" i="36"/>
  <c r="D360" i="36"/>
  <c r="E360" i="36"/>
  <c r="F360" i="36"/>
  <c r="D359" i="36"/>
  <c r="E359" i="36"/>
  <c r="F359" i="36"/>
  <c r="D358" i="36"/>
  <c r="E358" i="36"/>
  <c r="F358" i="36"/>
  <c r="D357" i="36"/>
  <c r="E357" i="36"/>
  <c r="F357" i="36"/>
  <c r="D356" i="36"/>
  <c r="E356" i="36"/>
  <c r="F356" i="36"/>
  <c r="D355" i="36"/>
  <c r="E355" i="36"/>
  <c r="F355" i="36"/>
  <c r="D354" i="36"/>
  <c r="E354" i="36"/>
  <c r="F354" i="36"/>
  <c r="D353" i="36"/>
  <c r="E353" i="36"/>
  <c r="F353" i="36"/>
  <c r="D352" i="36"/>
  <c r="E352" i="36"/>
  <c r="F352" i="36"/>
  <c r="D351" i="36"/>
  <c r="E351" i="36"/>
  <c r="F351" i="36"/>
  <c r="D350" i="36"/>
  <c r="E350" i="36"/>
  <c r="F350" i="36"/>
  <c r="D349" i="36"/>
  <c r="E349" i="36"/>
  <c r="F349" i="36"/>
  <c r="D348" i="36"/>
  <c r="E348" i="36"/>
  <c r="F348" i="36"/>
  <c r="D347" i="36"/>
  <c r="E347" i="36"/>
  <c r="F347" i="36"/>
  <c r="D346" i="36"/>
  <c r="E346" i="36"/>
  <c r="F346" i="36"/>
  <c r="D345" i="36"/>
  <c r="E345" i="36"/>
  <c r="F345" i="36"/>
  <c r="D344" i="36"/>
  <c r="E344" i="36"/>
  <c r="F344" i="36"/>
  <c r="D343" i="36"/>
  <c r="E343" i="36"/>
  <c r="F343" i="36"/>
  <c r="D342" i="36"/>
  <c r="E342" i="36"/>
  <c r="F342" i="36"/>
  <c r="D341" i="36"/>
  <c r="E341" i="36"/>
  <c r="F341" i="36"/>
  <c r="D340" i="36"/>
  <c r="E340" i="36"/>
  <c r="F340" i="36"/>
  <c r="D339" i="36"/>
  <c r="E339" i="36"/>
  <c r="F339" i="36"/>
  <c r="D338" i="36"/>
  <c r="E338" i="36"/>
  <c r="F338" i="36"/>
  <c r="D337" i="36"/>
  <c r="E337" i="36"/>
  <c r="F337" i="36"/>
  <c r="D336" i="36"/>
  <c r="E336" i="36"/>
  <c r="F336" i="36"/>
  <c r="D335" i="36"/>
  <c r="E335" i="36"/>
  <c r="F335" i="36"/>
  <c r="D334" i="36"/>
  <c r="E334" i="36"/>
  <c r="F334" i="36"/>
  <c r="D333" i="36"/>
  <c r="E333" i="36"/>
  <c r="F333" i="36"/>
  <c r="D332" i="36"/>
  <c r="E332" i="36"/>
  <c r="F332" i="36"/>
  <c r="D331" i="36"/>
  <c r="E331" i="36"/>
  <c r="F331" i="36"/>
  <c r="D330" i="36"/>
  <c r="E330" i="36"/>
  <c r="F330" i="36"/>
  <c r="D329" i="36"/>
  <c r="E329" i="36"/>
  <c r="F329" i="36"/>
  <c r="D328" i="36"/>
  <c r="E328" i="36"/>
  <c r="F328" i="36"/>
  <c r="D327" i="36"/>
  <c r="E327" i="36"/>
  <c r="F327" i="36"/>
  <c r="D326" i="36"/>
  <c r="E326" i="36"/>
  <c r="F326" i="36"/>
  <c r="D325" i="36"/>
  <c r="E325" i="36"/>
  <c r="F325" i="36"/>
  <c r="D324" i="36"/>
  <c r="E324" i="36"/>
  <c r="F324" i="36"/>
  <c r="D323" i="36"/>
  <c r="E323" i="36"/>
  <c r="F323" i="36"/>
  <c r="D322" i="36"/>
  <c r="E322" i="36"/>
  <c r="F322" i="36"/>
  <c r="D321" i="36"/>
  <c r="E321" i="36"/>
  <c r="F321" i="36"/>
  <c r="D320" i="36"/>
  <c r="E320" i="36"/>
  <c r="F320" i="36"/>
  <c r="D319" i="36"/>
  <c r="E319" i="36"/>
  <c r="F319" i="36"/>
  <c r="D318" i="36"/>
  <c r="E318" i="36"/>
  <c r="F318" i="36"/>
  <c r="D317" i="36"/>
  <c r="E317" i="36"/>
  <c r="F317" i="36"/>
  <c r="D316" i="36"/>
  <c r="E316" i="36"/>
  <c r="F316" i="36"/>
  <c r="D315" i="36"/>
  <c r="E315" i="36"/>
  <c r="F315" i="36"/>
  <c r="D314" i="36"/>
  <c r="E314" i="36"/>
  <c r="F314" i="36"/>
  <c r="D313" i="36"/>
  <c r="E313" i="36"/>
  <c r="F313" i="36"/>
  <c r="D312" i="36"/>
  <c r="E312" i="36"/>
  <c r="F312" i="36"/>
  <c r="D311" i="36"/>
  <c r="E311" i="36"/>
  <c r="F311" i="36"/>
  <c r="D310" i="36"/>
  <c r="E310" i="36"/>
  <c r="F310" i="36"/>
  <c r="D309" i="36"/>
  <c r="E309" i="36"/>
  <c r="F309" i="36"/>
  <c r="D308" i="36"/>
  <c r="E308" i="36"/>
  <c r="F308" i="36"/>
  <c r="D307" i="36"/>
  <c r="E307" i="36"/>
  <c r="F307" i="36"/>
  <c r="D306" i="36"/>
  <c r="E306" i="36"/>
  <c r="F306" i="36"/>
  <c r="D305" i="36"/>
  <c r="E305" i="36"/>
  <c r="F305" i="36"/>
  <c r="D304" i="36"/>
  <c r="E304" i="36"/>
  <c r="F304" i="36"/>
  <c r="D303" i="36"/>
  <c r="E303" i="36"/>
  <c r="F303" i="36"/>
  <c r="D302" i="36"/>
  <c r="E302" i="36"/>
  <c r="F302" i="36"/>
  <c r="D301" i="36"/>
  <c r="E301" i="36"/>
  <c r="F301" i="36"/>
  <c r="D300" i="36"/>
  <c r="E300" i="36"/>
  <c r="F300" i="36"/>
  <c r="D299" i="36"/>
  <c r="E299" i="36"/>
  <c r="F299" i="36"/>
  <c r="D298" i="36"/>
  <c r="E298" i="36"/>
  <c r="F298" i="36"/>
  <c r="D297" i="36"/>
  <c r="E297" i="36"/>
  <c r="F297" i="36"/>
  <c r="D296" i="36"/>
  <c r="E296" i="36"/>
  <c r="F296" i="36"/>
  <c r="D295" i="36"/>
  <c r="E295" i="36"/>
  <c r="F295" i="36"/>
  <c r="D294" i="36"/>
  <c r="E294" i="36"/>
  <c r="F294" i="36"/>
  <c r="D293" i="36"/>
  <c r="E293" i="36"/>
  <c r="F293" i="36"/>
  <c r="D292" i="36"/>
  <c r="E292" i="36"/>
  <c r="F292" i="36"/>
  <c r="D291" i="36"/>
  <c r="E291" i="36"/>
  <c r="F291" i="36"/>
  <c r="D290" i="36"/>
  <c r="E290" i="36"/>
  <c r="F290" i="36"/>
  <c r="D289" i="36"/>
  <c r="E289" i="36"/>
  <c r="F289" i="36"/>
  <c r="D288" i="36"/>
  <c r="E288" i="36"/>
  <c r="F288" i="36"/>
  <c r="D287" i="36"/>
  <c r="E287" i="36"/>
  <c r="F287" i="36"/>
  <c r="D286" i="36"/>
  <c r="E286" i="36"/>
  <c r="F286" i="36"/>
  <c r="D285" i="36"/>
  <c r="E285" i="36"/>
  <c r="F285" i="36"/>
  <c r="D284" i="36"/>
  <c r="E284" i="36"/>
  <c r="F284" i="36"/>
  <c r="D283" i="36"/>
  <c r="E283" i="36"/>
  <c r="F283" i="36"/>
  <c r="D282" i="36"/>
  <c r="E282" i="36"/>
  <c r="F282" i="36"/>
  <c r="D281" i="36"/>
  <c r="E281" i="36"/>
  <c r="F281" i="36"/>
  <c r="D280" i="36"/>
  <c r="E280" i="36"/>
  <c r="F280" i="36"/>
  <c r="D279" i="36"/>
  <c r="E279" i="36"/>
  <c r="F279" i="36"/>
  <c r="D278" i="36"/>
  <c r="E278" i="36"/>
  <c r="F278" i="36"/>
  <c r="D277" i="36"/>
  <c r="E277" i="36"/>
  <c r="F277" i="36"/>
  <c r="D276" i="36"/>
  <c r="E276" i="36"/>
  <c r="F276" i="36"/>
  <c r="D275" i="36"/>
  <c r="E275" i="36"/>
  <c r="F275" i="36"/>
  <c r="D274" i="36"/>
  <c r="E274" i="36"/>
  <c r="F274" i="36"/>
  <c r="D273" i="36"/>
  <c r="E273" i="36"/>
  <c r="F273" i="36"/>
  <c r="D272" i="36"/>
  <c r="E272" i="36"/>
  <c r="F272" i="36"/>
  <c r="D271" i="36"/>
  <c r="E271" i="36"/>
  <c r="F271" i="36"/>
  <c r="D270" i="36"/>
  <c r="E270" i="36"/>
  <c r="F270" i="36"/>
  <c r="D269" i="36"/>
  <c r="E269" i="36"/>
  <c r="F269" i="36"/>
  <c r="D268" i="36"/>
  <c r="E268" i="36"/>
  <c r="F268" i="36"/>
  <c r="D267" i="36"/>
  <c r="E267" i="36"/>
  <c r="F267" i="36"/>
  <c r="D266" i="36"/>
  <c r="E266" i="36"/>
  <c r="F266" i="36"/>
  <c r="D265" i="36"/>
  <c r="E265" i="36"/>
  <c r="F265" i="36"/>
  <c r="D264" i="36"/>
  <c r="E264" i="36"/>
  <c r="F264" i="36"/>
  <c r="D263" i="36"/>
  <c r="E263" i="36"/>
  <c r="F263" i="36"/>
  <c r="D262" i="36"/>
  <c r="E262" i="36"/>
  <c r="F262" i="36"/>
  <c r="D261" i="36"/>
  <c r="E261" i="36"/>
  <c r="F261" i="36"/>
  <c r="D260" i="36"/>
  <c r="E260" i="36"/>
  <c r="F260" i="36"/>
  <c r="D259" i="36"/>
  <c r="E259" i="36"/>
  <c r="F259" i="36"/>
  <c r="D258" i="36"/>
  <c r="E258" i="36"/>
  <c r="F258" i="36"/>
  <c r="D257" i="36"/>
  <c r="E257" i="36"/>
  <c r="F257" i="36"/>
  <c r="D256" i="36"/>
  <c r="E256" i="36"/>
  <c r="F256" i="36"/>
  <c r="D255" i="36"/>
  <c r="E255" i="36"/>
  <c r="F255" i="36"/>
  <c r="D254" i="36"/>
  <c r="E254" i="36"/>
  <c r="F254" i="36"/>
  <c r="D253" i="36"/>
  <c r="E253" i="36"/>
  <c r="F253" i="36"/>
  <c r="D252" i="36"/>
  <c r="E252" i="36"/>
  <c r="F252" i="36"/>
  <c r="D251" i="36"/>
  <c r="E251" i="36"/>
  <c r="F251" i="36"/>
  <c r="D250" i="36"/>
  <c r="E250" i="36"/>
  <c r="F250" i="36"/>
  <c r="D249" i="36"/>
  <c r="E249" i="36"/>
  <c r="F249" i="36"/>
  <c r="D248" i="36"/>
  <c r="E248" i="36"/>
  <c r="F248" i="36"/>
  <c r="D247" i="36"/>
  <c r="E247" i="36"/>
  <c r="F247" i="36"/>
  <c r="D246" i="36"/>
  <c r="E246" i="36"/>
  <c r="F246" i="36"/>
  <c r="D245" i="36"/>
  <c r="E245" i="36"/>
  <c r="F245" i="36"/>
  <c r="D244" i="36"/>
  <c r="E244" i="36"/>
  <c r="F244" i="36"/>
  <c r="D243" i="36"/>
  <c r="E243" i="36"/>
  <c r="F243" i="36"/>
  <c r="D242" i="36"/>
  <c r="E242" i="36"/>
  <c r="F242" i="36"/>
  <c r="D241" i="36"/>
  <c r="E241" i="36"/>
  <c r="F241" i="36"/>
  <c r="D240" i="36"/>
  <c r="E240" i="36"/>
  <c r="F240" i="36"/>
  <c r="D239" i="36"/>
  <c r="E239" i="36"/>
  <c r="F239" i="36"/>
  <c r="D238" i="36"/>
  <c r="E238" i="36"/>
  <c r="F238" i="36"/>
  <c r="D237" i="36"/>
  <c r="E237" i="36"/>
  <c r="F237" i="36"/>
  <c r="D236" i="36"/>
  <c r="E236" i="36"/>
  <c r="F236" i="36"/>
  <c r="L235" i="36"/>
  <c r="M235" i="36"/>
  <c r="N235" i="36"/>
  <c r="D235" i="36"/>
  <c r="E235" i="36"/>
  <c r="F235" i="36"/>
  <c r="L234" i="36"/>
  <c r="M234" i="36"/>
  <c r="N234" i="36"/>
  <c r="D234" i="36"/>
  <c r="E234" i="36"/>
  <c r="F234" i="36"/>
  <c r="L233" i="36"/>
  <c r="M233" i="36"/>
  <c r="N233" i="36"/>
  <c r="D233" i="36"/>
  <c r="E233" i="36"/>
  <c r="F233" i="36"/>
  <c r="L232" i="36"/>
  <c r="M232" i="36"/>
  <c r="N232" i="36"/>
  <c r="D232" i="36"/>
  <c r="E232" i="36"/>
  <c r="F232" i="36"/>
  <c r="L231" i="36"/>
  <c r="M231" i="36"/>
  <c r="N231" i="36"/>
  <c r="D231" i="36"/>
  <c r="E231" i="36"/>
  <c r="F231" i="36"/>
  <c r="L230" i="36"/>
  <c r="M230" i="36"/>
  <c r="N230" i="36"/>
  <c r="D230" i="36"/>
  <c r="E230" i="36"/>
  <c r="F230" i="36"/>
  <c r="L229" i="36"/>
  <c r="M229" i="36"/>
  <c r="N229" i="36"/>
  <c r="D229" i="36"/>
  <c r="E229" i="36"/>
  <c r="F229" i="36"/>
  <c r="L228" i="36"/>
  <c r="M228" i="36"/>
  <c r="N228" i="36"/>
  <c r="D228" i="36"/>
  <c r="E228" i="36"/>
  <c r="F228" i="36"/>
  <c r="L227" i="36"/>
  <c r="M227" i="36"/>
  <c r="N227" i="36"/>
  <c r="D227" i="36"/>
  <c r="E227" i="36"/>
  <c r="F227" i="36"/>
  <c r="L226" i="36"/>
  <c r="M226" i="36"/>
  <c r="N226" i="36"/>
  <c r="D226" i="36"/>
  <c r="E226" i="36"/>
  <c r="F226" i="36"/>
  <c r="L225" i="36"/>
  <c r="M225" i="36"/>
  <c r="N225" i="36"/>
  <c r="D225" i="36"/>
  <c r="E225" i="36"/>
  <c r="F225" i="36"/>
  <c r="L224" i="36"/>
  <c r="M224" i="36"/>
  <c r="N224" i="36"/>
  <c r="D224" i="36"/>
  <c r="E224" i="36"/>
  <c r="F224" i="36"/>
  <c r="L223" i="36"/>
  <c r="M223" i="36"/>
  <c r="N223" i="36"/>
  <c r="D223" i="36"/>
  <c r="E223" i="36"/>
  <c r="F223" i="36"/>
  <c r="L222" i="36"/>
  <c r="M222" i="36"/>
  <c r="N222" i="36"/>
  <c r="D222" i="36"/>
  <c r="E222" i="36"/>
  <c r="F222" i="36"/>
  <c r="L221" i="36"/>
  <c r="M221" i="36"/>
  <c r="N221" i="36"/>
  <c r="D221" i="36"/>
  <c r="E221" i="36"/>
  <c r="F221" i="36"/>
  <c r="L220" i="36"/>
  <c r="M220" i="36"/>
  <c r="N220" i="36"/>
  <c r="D220" i="36"/>
  <c r="E220" i="36"/>
  <c r="F220" i="36"/>
  <c r="L219" i="36"/>
  <c r="M219" i="36"/>
  <c r="N219" i="36"/>
  <c r="D219" i="36"/>
  <c r="E219" i="36"/>
  <c r="F219" i="36"/>
  <c r="L218" i="36"/>
  <c r="M218" i="36"/>
  <c r="N218" i="36"/>
  <c r="D218" i="36"/>
  <c r="E218" i="36"/>
  <c r="F218" i="36"/>
  <c r="L217" i="36"/>
  <c r="M217" i="36"/>
  <c r="N217" i="36"/>
  <c r="D217" i="36"/>
  <c r="E217" i="36"/>
  <c r="F217" i="36"/>
  <c r="L216" i="36"/>
  <c r="M216" i="36"/>
  <c r="N216" i="36"/>
  <c r="D216" i="36"/>
  <c r="E216" i="36"/>
  <c r="F216" i="36"/>
  <c r="L215" i="36"/>
  <c r="M215" i="36"/>
  <c r="N215" i="36"/>
  <c r="D215" i="36"/>
  <c r="E215" i="36"/>
  <c r="F215" i="36"/>
  <c r="L214" i="36"/>
  <c r="M214" i="36"/>
  <c r="N214" i="36"/>
  <c r="D214" i="36"/>
  <c r="E214" i="36"/>
  <c r="F214" i="36"/>
  <c r="L213" i="36"/>
  <c r="M213" i="36"/>
  <c r="N213" i="36"/>
  <c r="D213" i="36"/>
  <c r="E213" i="36"/>
  <c r="F213" i="36"/>
  <c r="L212" i="36"/>
  <c r="M212" i="36"/>
  <c r="N212" i="36"/>
  <c r="D212" i="36"/>
  <c r="E212" i="36"/>
  <c r="F212" i="36"/>
  <c r="L211" i="36"/>
  <c r="M211" i="36"/>
  <c r="N211" i="36"/>
  <c r="D211" i="36"/>
  <c r="E211" i="36"/>
  <c r="F211" i="36"/>
  <c r="L210" i="36"/>
  <c r="M210" i="36"/>
  <c r="N210" i="36"/>
  <c r="D210" i="36"/>
  <c r="E210" i="36"/>
  <c r="F210" i="36"/>
  <c r="L209" i="36"/>
  <c r="M209" i="36"/>
  <c r="N209" i="36"/>
  <c r="D209" i="36"/>
  <c r="E209" i="36"/>
  <c r="F209" i="36"/>
  <c r="L208" i="36"/>
  <c r="M208" i="36"/>
  <c r="N208" i="36"/>
  <c r="D208" i="36"/>
  <c r="E208" i="36"/>
  <c r="F208" i="36"/>
  <c r="L207" i="36"/>
  <c r="M207" i="36"/>
  <c r="N207" i="36"/>
  <c r="D207" i="36"/>
  <c r="E207" i="36"/>
  <c r="F207" i="36"/>
  <c r="L206" i="36"/>
  <c r="M206" i="36"/>
  <c r="N206" i="36"/>
  <c r="D206" i="36"/>
  <c r="E206" i="36"/>
  <c r="F206" i="36"/>
  <c r="L205" i="36"/>
  <c r="M205" i="36"/>
  <c r="N205" i="36"/>
  <c r="D205" i="36"/>
  <c r="E205" i="36"/>
  <c r="F205" i="36"/>
  <c r="L204" i="36"/>
  <c r="M204" i="36"/>
  <c r="N204" i="36"/>
  <c r="D204" i="36"/>
  <c r="E204" i="36"/>
  <c r="F204" i="36"/>
  <c r="L203" i="36"/>
  <c r="M203" i="36"/>
  <c r="N203" i="36"/>
  <c r="D203" i="36"/>
  <c r="E203" i="36"/>
  <c r="F203" i="36"/>
  <c r="L202" i="36"/>
  <c r="M202" i="36"/>
  <c r="N202" i="36"/>
  <c r="D202" i="36"/>
  <c r="E202" i="36"/>
  <c r="F202" i="36"/>
  <c r="L201" i="36"/>
  <c r="M201" i="36"/>
  <c r="N201" i="36"/>
  <c r="D201" i="36"/>
  <c r="E201" i="36"/>
  <c r="F201" i="36"/>
  <c r="L200" i="36"/>
  <c r="M200" i="36"/>
  <c r="N200" i="36"/>
  <c r="D200" i="36"/>
  <c r="E200" i="36"/>
  <c r="F200" i="36"/>
  <c r="L199" i="36"/>
  <c r="M199" i="36"/>
  <c r="N199" i="36"/>
  <c r="D199" i="36"/>
  <c r="E199" i="36"/>
  <c r="F199" i="36"/>
  <c r="L198" i="36"/>
  <c r="M198" i="36"/>
  <c r="N198" i="36"/>
  <c r="D198" i="36"/>
  <c r="E198" i="36"/>
  <c r="F198" i="36"/>
  <c r="L197" i="36"/>
  <c r="M197" i="36"/>
  <c r="N197" i="36"/>
  <c r="D197" i="36"/>
  <c r="E197" i="36"/>
  <c r="F197" i="36"/>
  <c r="L196" i="36"/>
  <c r="M196" i="36"/>
  <c r="N196" i="36"/>
  <c r="D196" i="36"/>
  <c r="E196" i="36"/>
  <c r="F196" i="36"/>
  <c r="L195" i="36"/>
  <c r="M195" i="36"/>
  <c r="N195" i="36"/>
  <c r="D195" i="36"/>
  <c r="E195" i="36"/>
  <c r="F195" i="36"/>
  <c r="L194" i="36"/>
  <c r="M194" i="36"/>
  <c r="N194" i="36"/>
  <c r="D194" i="36"/>
  <c r="E194" i="36"/>
  <c r="F194" i="36"/>
  <c r="L193" i="36"/>
  <c r="M193" i="36"/>
  <c r="N193" i="36"/>
  <c r="D193" i="36"/>
  <c r="E193" i="36"/>
  <c r="F193" i="36"/>
  <c r="L192" i="36"/>
  <c r="M192" i="36"/>
  <c r="N192" i="36"/>
  <c r="D192" i="36"/>
  <c r="E192" i="36"/>
  <c r="F192" i="36"/>
  <c r="L191" i="36"/>
  <c r="M191" i="36"/>
  <c r="N191" i="36"/>
  <c r="D191" i="36"/>
  <c r="E191" i="36"/>
  <c r="F191" i="36"/>
  <c r="L190" i="36"/>
  <c r="M190" i="36"/>
  <c r="N190" i="36"/>
  <c r="D190" i="36"/>
  <c r="E190" i="36"/>
  <c r="F190" i="36"/>
  <c r="L189" i="36"/>
  <c r="M189" i="36"/>
  <c r="N189" i="36"/>
  <c r="D189" i="36"/>
  <c r="E189" i="36"/>
  <c r="F189" i="36"/>
  <c r="L188" i="36"/>
  <c r="M188" i="36"/>
  <c r="N188" i="36"/>
  <c r="D188" i="36"/>
  <c r="E188" i="36"/>
  <c r="F188" i="36"/>
  <c r="L187" i="36"/>
  <c r="M187" i="36"/>
  <c r="N187" i="36"/>
  <c r="D187" i="36"/>
  <c r="E187" i="36"/>
  <c r="F187" i="36"/>
  <c r="L186" i="36"/>
  <c r="M186" i="36"/>
  <c r="N186" i="36"/>
  <c r="D186" i="36"/>
  <c r="E186" i="36"/>
  <c r="F186" i="36"/>
  <c r="L185" i="36"/>
  <c r="M185" i="36"/>
  <c r="N185" i="36"/>
  <c r="D185" i="36"/>
  <c r="E185" i="36"/>
  <c r="F185" i="36"/>
  <c r="L184" i="36"/>
  <c r="M184" i="36"/>
  <c r="N184" i="36"/>
  <c r="D184" i="36"/>
  <c r="E184" i="36"/>
  <c r="F184" i="36"/>
  <c r="L183" i="36"/>
  <c r="M183" i="36"/>
  <c r="N183" i="36"/>
  <c r="D183" i="36"/>
  <c r="E183" i="36"/>
  <c r="F183" i="36"/>
  <c r="L182" i="36"/>
  <c r="M182" i="36"/>
  <c r="N182" i="36"/>
  <c r="D182" i="36"/>
  <c r="E182" i="36"/>
  <c r="F182" i="36"/>
  <c r="L181" i="36"/>
  <c r="M181" i="36"/>
  <c r="N181" i="36"/>
  <c r="D181" i="36"/>
  <c r="E181" i="36"/>
  <c r="F181" i="36"/>
  <c r="L180" i="36"/>
  <c r="M180" i="36"/>
  <c r="N180" i="36"/>
  <c r="D180" i="36"/>
  <c r="E180" i="36"/>
  <c r="F180" i="36"/>
  <c r="L179" i="36"/>
  <c r="M179" i="36"/>
  <c r="N179" i="36"/>
  <c r="D179" i="36"/>
  <c r="E179" i="36"/>
  <c r="F179" i="36"/>
  <c r="L178" i="36"/>
  <c r="M178" i="36"/>
  <c r="N178" i="36"/>
  <c r="D178" i="36"/>
  <c r="E178" i="36"/>
  <c r="F178" i="36"/>
  <c r="L177" i="36"/>
  <c r="M177" i="36"/>
  <c r="N177" i="36"/>
  <c r="D177" i="36"/>
  <c r="E177" i="36"/>
  <c r="F177" i="36"/>
  <c r="L176" i="36"/>
  <c r="M176" i="36"/>
  <c r="N176" i="36"/>
  <c r="D176" i="36"/>
  <c r="E176" i="36"/>
  <c r="F176" i="36"/>
  <c r="L175" i="36"/>
  <c r="M175" i="36"/>
  <c r="N175" i="36"/>
  <c r="D175" i="36"/>
  <c r="E175" i="36"/>
  <c r="F175" i="36"/>
  <c r="L174" i="36"/>
  <c r="M174" i="36"/>
  <c r="N174" i="36"/>
  <c r="D174" i="36"/>
  <c r="E174" i="36"/>
  <c r="F174" i="36"/>
  <c r="L173" i="36"/>
  <c r="M173" i="36"/>
  <c r="N173" i="36"/>
  <c r="D173" i="36"/>
  <c r="E173" i="36"/>
  <c r="F173" i="36"/>
  <c r="L172" i="36"/>
  <c r="M172" i="36"/>
  <c r="N172" i="36"/>
  <c r="D172" i="36"/>
  <c r="E172" i="36"/>
  <c r="F172" i="36"/>
  <c r="L171" i="36"/>
  <c r="M171" i="36"/>
  <c r="N171" i="36"/>
  <c r="D171" i="36"/>
  <c r="E171" i="36"/>
  <c r="F171" i="36"/>
  <c r="L170" i="36"/>
  <c r="M170" i="36"/>
  <c r="N170" i="36"/>
  <c r="D170" i="36"/>
  <c r="E170" i="36"/>
  <c r="F170" i="36"/>
  <c r="L169" i="36"/>
  <c r="M169" i="36"/>
  <c r="N169" i="36"/>
  <c r="D169" i="36"/>
  <c r="E169" i="36"/>
  <c r="F169" i="36"/>
  <c r="L168" i="36"/>
  <c r="M168" i="36"/>
  <c r="N168" i="36"/>
  <c r="D168" i="36"/>
  <c r="E168" i="36"/>
  <c r="F168" i="36"/>
  <c r="L167" i="36"/>
  <c r="M167" i="36"/>
  <c r="N167" i="36"/>
  <c r="D167" i="36"/>
  <c r="E167" i="36"/>
  <c r="F167" i="36"/>
  <c r="L166" i="36"/>
  <c r="M166" i="36"/>
  <c r="N166" i="36"/>
  <c r="D166" i="36"/>
  <c r="E166" i="36"/>
  <c r="F166" i="36"/>
  <c r="L165" i="36"/>
  <c r="M165" i="36"/>
  <c r="N165" i="36"/>
  <c r="D165" i="36"/>
  <c r="E165" i="36"/>
  <c r="F165" i="36"/>
  <c r="L164" i="36"/>
  <c r="M164" i="36"/>
  <c r="N164" i="36"/>
  <c r="D164" i="36"/>
  <c r="E164" i="36"/>
  <c r="F164" i="36"/>
  <c r="L163" i="36"/>
  <c r="M163" i="36"/>
  <c r="N163" i="36"/>
  <c r="D163" i="36"/>
  <c r="E163" i="36"/>
  <c r="F163" i="36"/>
  <c r="L162" i="36"/>
  <c r="M162" i="36"/>
  <c r="N162" i="36"/>
  <c r="D162" i="36"/>
  <c r="E162" i="36"/>
  <c r="F162" i="36"/>
  <c r="L161" i="36"/>
  <c r="M161" i="36"/>
  <c r="N161" i="36"/>
  <c r="D161" i="36"/>
  <c r="E161" i="36"/>
  <c r="F161" i="36"/>
  <c r="L160" i="36"/>
  <c r="M160" i="36"/>
  <c r="N160" i="36"/>
  <c r="D160" i="36"/>
  <c r="E160" i="36"/>
  <c r="F160" i="36"/>
  <c r="L159" i="36"/>
  <c r="M159" i="36"/>
  <c r="N159" i="36"/>
  <c r="D159" i="36"/>
  <c r="E159" i="36"/>
  <c r="F159" i="36"/>
  <c r="L158" i="36"/>
  <c r="M158" i="36"/>
  <c r="N158" i="36"/>
  <c r="D158" i="36"/>
  <c r="E158" i="36"/>
  <c r="F158" i="36"/>
  <c r="L157" i="36"/>
  <c r="M157" i="36"/>
  <c r="N157" i="36"/>
  <c r="D157" i="36"/>
  <c r="E157" i="36"/>
  <c r="F157" i="36"/>
  <c r="L156" i="36"/>
  <c r="M156" i="36"/>
  <c r="N156" i="36"/>
  <c r="D156" i="36"/>
  <c r="E156" i="36"/>
  <c r="F156" i="36"/>
  <c r="L155" i="36"/>
  <c r="M155" i="36"/>
  <c r="N155" i="36"/>
  <c r="D155" i="36"/>
  <c r="E155" i="36"/>
  <c r="F155" i="36"/>
  <c r="L154" i="36"/>
  <c r="M154" i="36"/>
  <c r="N154" i="36"/>
  <c r="D154" i="36"/>
  <c r="E154" i="36"/>
  <c r="F154" i="36"/>
  <c r="L153" i="36"/>
  <c r="M153" i="36"/>
  <c r="N153" i="36"/>
  <c r="D153" i="36"/>
  <c r="E153" i="36"/>
  <c r="F153" i="36"/>
  <c r="L152" i="36"/>
  <c r="M152" i="36"/>
  <c r="N152" i="36"/>
  <c r="D152" i="36"/>
  <c r="E152" i="36"/>
  <c r="F152" i="36"/>
  <c r="L151" i="36"/>
  <c r="M151" i="36"/>
  <c r="N151" i="36"/>
  <c r="D151" i="36"/>
  <c r="E151" i="36"/>
  <c r="F151" i="36"/>
  <c r="L150" i="36"/>
  <c r="M150" i="36"/>
  <c r="N150" i="36"/>
  <c r="D150" i="36"/>
  <c r="E150" i="36"/>
  <c r="F150" i="36"/>
  <c r="L149" i="36"/>
  <c r="M149" i="36"/>
  <c r="N149" i="36"/>
  <c r="D149" i="36"/>
  <c r="E149" i="36"/>
  <c r="F149" i="36"/>
  <c r="L148" i="36"/>
  <c r="M148" i="36"/>
  <c r="N148" i="36"/>
  <c r="D148" i="36"/>
  <c r="E148" i="36"/>
  <c r="F148" i="36"/>
  <c r="L147" i="36"/>
  <c r="M147" i="36"/>
  <c r="N147" i="36"/>
  <c r="D147" i="36"/>
  <c r="E147" i="36"/>
  <c r="F147" i="36"/>
  <c r="L146" i="36"/>
  <c r="M146" i="36"/>
  <c r="N146" i="36"/>
  <c r="D146" i="36"/>
  <c r="E146" i="36"/>
  <c r="F146" i="36"/>
  <c r="L145" i="36"/>
  <c r="M145" i="36"/>
  <c r="N145" i="36"/>
  <c r="D145" i="36"/>
  <c r="E145" i="36"/>
  <c r="F145" i="36"/>
  <c r="L144" i="36"/>
  <c r="M144" i="36"/>
  <c r="N144" i="36"/>
  <c r="D144" i="36"/>
  <c r="E144" i="36"/>
  <c r="F144" i="36"/>
  <c r="L143" i="36"/>
  <c r="M143" i="36"/>
  <c r="N143" i="36"/>
  <c r="D143" i="36"/>
  <c r="E143" i="36"/>
  <c r="F143" i="36"/>
  <c r="L142" i="36"/>
  <c r="M142" i="36"/>
  <c r="N142" i="36"/>
  <c r="D142" i="36"/>
  <c r="E142" i="36"/>
  <c r="F142" i="36"/>
  <c r="L141" i="36"/>
  <c r="M141" i="36"/>
  <c r="N141" i="36"/>
  <c r="D141" i="36"/>
  <c r="E141" i="36"/>
  <c r="F141" i="36"/>
  <c r="L140" i="36"/>
  <c r="M140" i="36"/>
  <c r="N140" i="36"/>
  <c r="D140" i="36"/>
  <c r="E140" i="36"/>
  <c r="F140" i="36"/>
  <c r="L139" i="36"/>
  <c r="M139" i="36"/>
  <c r="N139" i="36"/>
  <c r="D139" i="36"/>
  <c r="E139" i="36"/>
  <c r="F139" i="36"/>
  <c r="L138" i="36"/>
  <c r="M138" i="36"/>
  <c r="N138" i="36"/>
  <c r="D138" i="36"/>
  <c r="E138" i="36"/>
  <c r="F138" i="36"/>
  <c r="L137" i="36"/>
  <c r="M137" i="36"/>
  <c r="N137" i="36"/>
  <c r="D137" i="36"/>
  <c r="E137" i="36"/>
  <c r="F137" i="36"/>
  <c r="L136" i="36"/>
  <c r="M136" i="36"/>
  <c r="N136" i="36"/>
  <c r="D136" i="36"/>
  <c r="E136" i="36"/>
  <c r="F136" i="36"/>
  <c r="L135" i="36"/>
  <c r="M135" i="36"/>
  <c r="N135" i="36"/>
  <c r="D135" i="36"/>
  <c r="E135" i="36"/>
  <c r="F135" i="36"/>
  <c r="L134" i="36"/>
  <c r="M134" i="36"/>
  <c r="N134" i="36"/>
  <c r="D134" i="36"/>
  <c r="E134" i="36"/>
  <c r="F134" i="36"/>
  <c r="L133" i="36"/>
  <c r="M133" i="36"/>
  <c r="N133" i="36"/>
  <c r="D133" i="36"/>
  <c r="E133" i="36"/>
  <c r="F133" i="36"/>
  <c r="L132" i="36"/>
  <c r="M132" i="36"/>
  <c r="N132" i="36"/>
  <c r="D132" i="36"/>
  <c r="E132" i="36"/>
  <c r="F132" i="36"/>
  <c r="L131" i="36"/>
  <c r="M131" i="36"/>
  <c r="N131" i="36"/>
  <c r="D131" i="36"/>
  <c r="E131" i="36"/>
  <c r="F131" i="36"/>
  <c r="L130" i="36"/>
  <c r="M130" i="36"/>
  <c r="N130" i="36"/>
  <c r="D130" i="36"/>
  <c r="E130" i="36"/>
  <c r="F130" i="36"/>
  <c r="L129" i="36"/>
  <c r="M129" i="36"/>
  <c r="N129" i="36"/>
  <c r="D129" i="36"/>
  <c r="E129" i="36"/>
  <c r="F129" i="36"/>
  <c r="L128" i="36"/>
  <c r="M128" i="36"/>
  <c r="N128" i="36"/>
  <c r="D128" i="36"/>
  <c r="E128" i="36"/>
  <c r="F128" i="36"/>
  <c r="L127" i="36"/>
  <c r="M127" i="36"/>
  <c r="N127" i="36"/>
  <c r="D127" i="36"/>
  <c r="E127" i="36"/>
  <c r="F127" i="36"/>
  <c r="L126" i="36"/>
  <c r="M126" i="36"/>
  <c r="N126" i="36"/>
  <c r="D126" i="36"/>
  <c r="E126" i="36"/>
  <c r="F126" i="36"/>
  <c r="L125" i="36"/>
  <c r="M125" i="36"/>
  <c r="N125" i="36"/>
  <c r="D125" i="36"/>
  <c r="E125" i="36"/>
  <c r="F125" i="36"/>
  <c r="L124" i="36"/>
  <c r="M124" i="36"/>
  <c r="N124" i="36"/>
  <c r="D124" i="36"/>
  <c r="E124" i="36"/>
  <c r="F124" i="36"/>
  <c r="L123" i="36"/>
  <c r="M123" i="36"/>
  <c r="N123" i="36"/>
  <c r="D123" i="36"/>
  <c r="E123" i="36"/>
  <c r="F123" i="36"/>
  <c r="L122" i="36"/>
  <c r="M122" i="36"/>
  <c r="N122" i="36"/>
  <c r="D122" i="36"/>
  <c r="E122" i="36"/>
  <c r="F122" i="36"/>
  <c r="L121" i="36"/>
  <c r="M121" i="36"/>
  <c r="N121" i="36"/>
  <c r="D121" i="36"/>
  <c r="E121" i="36"/>
  <c r="F121" i="36"/>
  <c r="L120" i="36"/>
  <c r="M120" i="36"/>
  <c r="N120" i="36"/>
  <c r="D120" i="36"/>
  <c r="E120" i="36"/>
  <c r="F120" i="36"/>
  <c r="L119" i="36"/>
  <c r="M119" i="36"/>
  <c r="N119" i="36"/>
  <c r="D119" i="36"/>
  <c r="E119" i="36"/>
  <c r="F119" i="36"/>
  <c r="L118" i="36"/>
  <c r="M118" i="36"/>
  <c r="N118" i="36"/>
  <c r="D118" i="36"/>
  <c r="E118" i="36"/>
  <c r="F118" i="36"/>
  <c r="L117" i="36"/>
  <c r="M117" i="36"/>
  <c r="N117" i="36"/>
  <c r="D117" i="36"/>
  <c r="E117" i="36"/>
  <c r="F117" i="36"/>
  <c r="L116" i="36"/>
  <c r="M116" i="36"/>
  <c r="N116" i="36"/>
  <c r="D116" i="36"/>
  <c r="E116" i="36"/>
  <c r="F116" i="36"/>
  <c r="L115" i="36"/>
  <c r="M115" i="36"/>
  <c r="N115" i="36"/>
  <c r="D115" i="36"/>
  <c r="E115" i="36"/>
  <c r="F115" i="36"/>
  <c r="L114" i="36"/>
  <c r="M114" i="36"/>
  <c r="N114" i="36"/>
  <c r="D114" i="36"/>
  <c r="E114" i="36"/>
  <c r="F114" i="36"/>
  <c r="L113" i="36"/>
  <c r="M113" i="36"/>
  <c r="N113" i="36"/>
  <c r="D113" i="36"/>
  <c r="E113" i="36"/>
  <c r="F113" i="36"/>
  <c r="L112" i="36"/>
  <c r="M112" i="36"/>
  <c r="N112" i="36"/>
  <c r="D112" i="36"/>
  <c r="E112" i="36"/>
  <c r="F112" i="36"/>
  <c r="L111" i="36"/>
  <c r="M111" i="36"/>
  <c r="N111" i="36"/>
  <c r="D111" i="36"/>
  <c r="E111" i="36"/>
  <c r="F111" i="36"/>
  <c r="L110" i="36"/>
  <c r="M110" i="36"/>
  <c r="N110" i="36"/>
  <c r="D110" i="36"/>
  <c r="E110" i="36"/>
  <c r="F110" i="36"/>
  <c r="L109" i="36"/>
  <c r="M109" i="36"/>
  <c r="N109" i="36"/>
  <c r="D109" i="36"/>
  <c r="E109" i="36"/>
  <c r="F109" i="36"/>
  <c r="L108" i="36"/>
  <c r="M108" i="36"/>
  <c r="N108" i="36"/>
  <c r="D108" i="36"/>
  <c r="E108" i="36"/>
  <c r="F108" i="36"/>
  <c r="L107" i="36"/>
  <c r="M107" i="36"/>
  <c r="N107" i="36"/>
  <c r="D107" i="36"/>
  <c r="E107" i="36"/>
  <c r="F107" i="36"/>
  <c r="L106" i="36"/>
  <c r="M106" i="36"/>
  <c r="N106" i="36"/>
  <c r="D106" i="36"/>
  <c r="E106" i="36"/>
  <c r="F106" i="36"/>
  <c r="L105" i="36"/>
  <c r="M105" i="36"/>
  <c r="N105" i="36"/>
  <c r="D105" i="36"/>
  <c r="E105" i="36"/>
  <c r="F105" i="36"/>
  <c r="L104" i="36"/>
  <c r="M104" i="36"/>
  <c r="N104" i="36"/>
  <c r="D104" i="36"/>
  <c r="E104" i="36"/>
  <c r="F104" i="36"/>
  <c r="L103" i="36"/>
  <c r="M103" i="36"/>
  <c r="N103" i="36"/>
  <c r="D103" i="36"/>
  <c r="E103" i="36"/>
  <c r="F103" i="36"/>
  <c r="L102" i="36"/>
  <c r="M102" i="36"/>
  <c r="N102" i="36"/>
  <c r="D102" i="36"/>
  <c r="E102" i="36"/>
  <c r="F102" i="36"/>
  <c r="L101" i="36"/>
  <c r="M101" i="36"/>
  <c r="N101" i="36"/>
  <c r="D101" i="36"/>
  <c r="E101" i="36"/>
  <c r="F101" i="36"/>
  <c r="L100" i="36"/>
  <c r="M100" i="36"/>
  <c r="N100" i="36"/>
  <c r="D100" i="36"/>
  <c r="E100" i="36"/>
  <c r="F100" i="36"/>
  <c r="L99" i="36"/>
  <c r="M99" i="36"/>
  <c r="N99" i="36"/>
  <c r="D99" i="36"/>
  <c r="E99" i="36"/>
  <c r="F99" i="36"/>
  <c r="L98" i="36"/>
  <c r="M98" i="36"/>
  <c r="N98" i="36"/>
  <c r="D98" i="36"/>
  <c r="E98" i="36"/>
  <c r="F98" i="36"/>
  <c r="L97" i="36"/>
  <c r="M97" i="36"/>
  <c r="N97" i="36"/>
  <c r="D97" i="36"/>
  <c r="E97" i="36"/>
  <c r="F97" i="36"/>
  <c r="L96" i="36"/>
  <c r="M96" i="36"/>
  <c r="N96" i="36"/>
  <c r="D96" i="36"/>
  <c r="E96" i="36"/>
  <c r="F96" i="36"/>
  <c r="L95" i="36"/>
  <c r="M95" i="36"/>
  <c r="N95" i="36"/>
  <c r="D95" i="36"/>
  <c r="E95" i="36"/>
  <c r="F95" i="36"/>
  <c r="L94" i="36"/>
  <c r="M94" i="36"/>
  <c r="N94" i="36"/>
  <c r="D94" i="36"/>
  <c r="E94" i="36"/>
  <c r="F94" i="36"/>
  <c r="L93" i="36"/>
  <c r="M93" i="36"/>
  <c r="N93" i="36"/>
  <c r="D93" i="36"/>
  <c r="E93" i="36"/>
  <c r="F93" i="36"/>
  <c r="L92" i="36"/>
  <c r="M92" i="36"/>
  <c r="N92" i="36"/>
  <c r="D92" i="36"/>
  <c r="E92" i="36"/>
  <c r="F92" i="36"/>
  <c r="L91" i="36"/>
  <c r="M91" i="36"/>
  <c r="N91" i="36"/>
  <c r="D91" i="36"/>
  <c r="E91" i="36"/>
  <c r="F91" i="36"/>
  <c r="L90" i="36"/>
  <c r="M90" i="36"/>
  <c r="N90" i="36"/>
  <c r="D90" i="36"/>
  <c r="E90" i="36"/>
  <c r="F90" i="36"/>
  <c r="L89" i="36"/>
  <c r="M89" i="36"/>
  <c r="N89" i="36"/>
  <c r="D89" i="36"/>
  <c r="E89" i="36"/>
  <c r="F89" i="36"/>
  <c r="L88" i="36"/>
  <c r="M88" i="36"/>
  <c r="N88" i="36"/>
  <c r="D88" i="36"/>
  <c r="E88" i="36"/>
  <c r="F88" i="36"/>
  <c r="L87" i="36"/>
  <c r="M87" i="36"/>
  <c r="N87" i="36"/>
  <c r="D87" i="36"/>
  <c r="E87" i="36"/>
  <c r="F87" i="36"/>
  <c r="L86" i="36"/>
  <c r="M86" i="36"/>
  <c r="N86" i="36"/>
  <c r="D86" i="36"/>
  <c r="E86" i="36"/>
  <c r="F86" i="36"/>
  <c r="L85" i="36"/>
  <c r="M85" i="36"/>
  <c r="N85" i="36"/>
  <c r="D85" i="36"/>
  <c r="E85" i="36"/>
  <c r="F85" i="36"/>
  <c r="L84" i="36"/>
  <c r="M84" i="36"/>
  <c r="N84" i="36"/>
  <c r="D84" i="36"/>
  <c r="E84" i="36"/>
  <c r="F84" i="36"/>
  <c r="L83" i="36"/>
  <c r="M83" i="36"/>
  <c r="N83" i="36"/>
  <c r="D83" i="36"/>
  <c r="E83" i="36"/>
  <c r="F83" i="36"/>
  <c r="L82" i="36"/>
  <c r="M82" i="36"/>
  <c r="N82" i="36"/>
  <c r="D82" i="36"/>
  <c r="E82" i="36"/>
  <c r="F82" i="36"/>
  <c r="L81" i="36"/>
  <c r="M81" i="36"/>
  <c r="N81" i="36"/>
  <c r="D81" i="36"/>
  <c r="E81" i="36"/>
  <c r="F81" i="36"/>
  <c r="L80" i="36"/>
  <c r="M80" i="36"/>
  <c r="N80" i="36"/>
  <c r="D80" i="36"/>
  <c r="E80" i="36"/>
  <c r="F80" i="36"/>
  <c r="L79" i="36"/>
  <c r="M79" i="36"/>
  <c r="N79" i="36"/>
  <c r="D79" i="36"/>
  <c r="E79" i="36"/>
  <c r="F79" i="36"/>
  <c r="L78" i="36"/>
  <c r="M78" i="36"/>
  <c r="N78" i="36"/>
  <c r="D78" i="36"/>
  <c r="E78" i="36"/>
  <c r="F78" i="36"/>
  <c r="L77" i="36"/>
  <c r="M77" i="36"/>
  <c r="N77" i="36"/>
  <c r="D77" i="36"/>
  <c r="E77" i="36"/>
  <c r="F77" i="36"/>
  <c r="L76" i="36"/>
  <c r="M76" i="36"/>
  <c r="N76" i="36"/>
  <c r="D76" i="36"/>
  <c r="E76" i="36"/>
  <c r="F76" i="36"/>
  <c r="L75" i="36"/>
  <c r="M75" i="36"/>
  <c r="N75" i="36"/>
  <c r="D75" i="36"/>
  <c r="E75" i="36"/>
  <c r="F75" i="36"/>
  <c r="L74" i="36"/>
  <c r="M74" i="36"/>
  <c r="N74" i="36"/>
  <c r="D74" i="36"/>
  <c r="E74" i="36"/>
  <c r="F74" i="36"/>
  <c r="L73" i="36"/>
  <c r="M73" i="36"/>
  <c r="N73" i="36"/>
  <c r="D73" i="36"/>
  <c r="E73" i="36"/>
  <c r="F73" i="36"/>
  <c r="L72" i="36"/>
  <c r="M72" i="36"/>
  <c r="N72" i="36"/>
  <c r="D72" i="36"/>
  <c r="E72" i="36"/>
  <c r="F72" i="36"/>
  <c r="L71" i="36"/>
  <c r="M71" i="36"/>
  <c r="N71" i="36"/>
  <c r="D71" i="36"/>
  <c r="E71" i="36"/>
  <c r="F71" i="36"/>
  <c r="L70" i="36"/>
  <c r="M70" i="36"/>
  <c r="N70" i="36"/>
  <c r="D70" i="36"/>
  <c r="E70" i="36"/>
  <c r="F70" i="36"/>
  <c r="L69" i="36"/>
  <c r="M69" i="36"/>
  <c r="N69" i="36"/>
  <c r="D69" i="36"/>
  <c r="E69" i="36"/>
  <c r="F69" i="36"/>
  <c r="L68" i="36"/>
  <c r="M68" i="36"/>
  <c r="N68" i="36"/>
  <c r="D68" i="36"/>
  <c r="E68" i="36"/>
  <c r="F68" i="36"/>
  <c r="L67" i="36"/>
  <c r="M67" i="36"/>
  <c r="N67" i="36"/>
  <c r="D67" i="36"/>
  <c r="E67" i="36"/>
  <c r="F67" i="36"/>
  <c r="L66" i="36"/>
  <c r="M66" i="36"/>
  <c r="N66" i="36"/>
  <c r="D66" i="36"/>
  <c r="E66" i="36"/>
  <c r="F66" i="36"/>
  <c r="L65" i="36"/>
  <c r="M65" i="36"/>
  <c r="N65" i="36"/>
  <c r="D65" i="36"/>
  <c r="E65" i="36"/>
  <c r="F65" i="36"/>
  <c r="L64" i="36"/>
  <c r="M64" i="36"/>
  <c r="N64" i="36"/>
  <c r="D64" i="36"/>
  <c r="E64" i="36"/>
  <c r="F64" i="36"/>
  <c r="L63" i="36"/>
  <c r="M63" i="36"/>
  <c r="N63" i="36"/>
  <c r="D63" i="36"/>
  <c r="E63" i="36"/>
  <c r="F63" i="36"/>
  <c r="L62" i="36"/>
  <c r="M62" i="36"/>
  <c r="N62" i="36"/>
  <c r="D62" i="36"/>
  <c r="E62" i="36"/>
  <c r="F62" i="36"/>
  <c r="L61" i="36"/>
  <c r="M61" i="36"/>
  <c r="N61" i="36"/>
  <c r="D61" i="36"/>
  <c r="E61" i="36"/>
  <c r="F61" i="36"/>
  <c r="L60" i="36"/>
  <c r="M60" i="36"/>
  <c r="N60" i="36"/>
  <c r="D60" i="36"/>
  <c r="E60" i="36"/>
  <c r="F60" i="36"/>
  <c r="L59" i="36"/>
  <c r="M59" i="36"/>
  <c r="N59" i="36"/>
  <c r="D59" i="36"/>
  <c r="E59" i="36"/>
  <c r="F59" i="36"/>
  <c r="L58" i="36"/>
  <c r="M58" i="36"/>
  <c r="N58" i="36"/>
  <c r="D58" i="36"/>
  <c r="E58" i="36"/>
  <c r="F58" i="36"/>
  <c r="L57" i="36"/>
  <c r="M57" i="36"/>
  <c r="N57" i="36"/>
  <c r="D57" i="36"/>
  <c r="E57" i="36"/>
  <c r="F57" i="36"/>
  <c r="L56" i="36"/>
  <c r="M56" i="36"/>
  <c r="N56" i="36"/>
  <c r="D56" i="36"/>
  <c r="E56" i="36"/>
  <c r="F56" i="36"/>
  <c r="L55" i="36"/>
  <c r="M55" i="36"/>
  <c r="N55" i="36"/>
  <c r="D55" i="36"/>
  <c r="E55" i="36"/>
  <c r="F55" i="36"/>
  <c r="L54" i="36"/>
  <c r="M54" i="36"/>
  <c r="N54" i="36"/>
  <c r="D54" i="36"/>
  <c r="E54" i="36"/>
  <c r="F54" i="36"/>
  <c r="L53" i="36"/>
  <c r="M53" i="36"/>
  <c r="N53" i="36"/>
  <c r="D53" i="36"/>
  <c r="E53" i="36"/>
  <c r="F53" i="36"/>
  <c r="L52" i="36"/>
  <c r="M52" i="36"/>
  <c r="N52" i="36"/>
  <c r="D52" i="36"/>
  <c r="E52" i="36"/>
  <c r="F52" i="36"/>
  <c r="L51" i="36"/>
  <c r="M51" i="36"/>
  <c r="N51" i="36"/>
  <c r="D51" i="36"/>
  <c r="E51" i="36"/>
  <c r="F51" i="36"/>
  <c r="L50" i="36"/>
  <c r="M50" i="36"/>
  <c r="N50" i="36"/>
  <c r="D50" i="36"/>
  <c r="E50" i="36"/>
  <c r="F50" i="36"/>
  <c r="L49" i="36"/>
  <c r="M49" i="36"/>
  <c r="N49" i="36"/>
  <c r="D49" i="36"/>
  <c r="E49" i="36"/>
  <c r="F49" i="36"/>
  <c r="L48" i="36"/>
  <c r="M48" i="36"/>
  <c r="N48" i="36"/>
  <c r="D48" i="36"/>
  <c r="E48" i="36"/>
  <c r="F48" i="36"/>
  <c r="L47" i="36"/>
  <c r="M47" i="36"/>
  <c r="N47" i="36"/>
  <c r="D47" i="36"/>
  <c r="E47" i="36"/>
  <c r="F47" i="36"/>
  <c r="AB46" i="36"/>
  <c r="AC46" i="36"/>
  <c r="AD46" i="36"/>
  <c r="L46" i="36"/>
  <c r="M46" i="36"/>
  <c r="N46" i="36"/>
  <c r="D46" i="36"/>
  <c r="E46" i="36"/>
  <c r="F46" i="36"/>
  <c r="AB45" i="36"/>
  <c r="AC45" i="36"/>
  <c r="AD45" i="36"/>
  <c r="L45" i="36"/>
  <c r="M45" i="36"/>
  <c r="N45" i="36"/>
  <c r="D45" i="36"/>
  <c r="E45" i="36"/>
  <c r="F45" i="36"/>
  <c r="AB44" i="36"/>
  <c r="AC44" i="36"/>
  <c r="AD44" i="36"/>
  <c r="L44" i="36"/>
  <c r="M44" i="36"/>
  <c r="N44" i="36"/>
  <c r="D44" i="36"/>
  <c r="E44" i="36"/>
  <c r="F44" i="36"/>
  <c r="AB43" i="36"/>
  <c r="AC43" i="36"/>
  <c r="AD43" i="36"/>
  <c r="L43" i="36"/>
  <c r="M43" i="36"/>
  <c r="N43" i="36"/>
  <c r="D43" i="36"/>
  <c r="E43" i="36"/>
  <c r="F43" i="36"/>
  <c r="AB42" i="36"/>
  <c r="AC42" i="36"/>
  <c r="AD42" i="36"/>
  <c r="L42" i="36"/>
  <c r="M42" i="36"/>
  <c r="N42" i="36"/>
  <c r="D42" i="36"/>
  <c r="E42" i="36"/>
  <c r="F42" i="36"/>
  <c r="AB41" i="36"/>
  <c r="AC41" i="36"/>
  <c r="AD41" i="36"/>
  <c r="L41" i="36"/>
  <c r="M41" i="36"/>
  <c r="N41" i="36"/>
  <c r="D41" i="36"/>
  <c r="E41" i="36"/>
  <c r="F41" i="36"/>
  <c r="AB40" i="36"/>
  <c r="AC40" i="36"/>
  <c r="AD40" i="36"/>
  <c r="L40" i="36"/>
  <c r="M40" i="36"/>
  <c r="N40" i="36"/>
  <c r="D40" i="36"/>
  <c r="E40" i="36"/>
  <c r="F40" i="36"/>
  <c r="AB39" i="36"/>
  <c r="AC39" i="36"/>
  <c r="AD39" i="36"/>
  <c r="L39" i="36"/>
  <c r="M39" i="36"/>
  <c r="N39" i="36"/>
  <c r="D39" i="36"/>
  <c r="E39" i="36"/>
  <c r="F39" i="36"/>
  <c r="AB38" i="36"/>
  <c r="AC38" i="36"/>
  <c r="AD38" i="36"/>
  <c r="L38" i="36"/>
  <c r="M38" i="36"/>
  <c r="N38" i="36"/>
  <c r="D38" i="36"/>
  <c r="E38" i="36"/>
  <c r="F38" i="36"/>
  <c r="AB37" i="36"/>
  <c r="AC37" i="36"/>
  <c r="AD37" i="36"/>
  <c r="L37" i="36"/>
  <c r="M37" i="36"/>
  <c r="N37" i="36"/>
  <c r="D37" i="36"/>
  <c r="E37" i="36"/>
  <c r="F37" i="36"/>
  <c r="AB36" i="36"/>
  <c r="AC36" i="36"/>
  <c r="AD36" i="36"/>
  <c r="L36" i="36"/>
  <c r="M36" i="36"/>
  <c r="N36" i="36"/>
  <c r="D36" i="36"/>
  <c r="E36" i="36"/>
  <c r="F36" i="36"/>
  <c r="AB35" i="36"/>
  <c r="AC35" i="36"/>
  <c r="AD35" i="36"/>
  <c r="L35" i="36"/>
  <c r="M35" i="36"/>
  <c r="N35" i="36"/>
  <c r="D35" i="36"/>
  <c r="E35" i="36"/>
  <c r="F35" i="36"/>
  <c r="AB34" i="36"/>
  <c r="AC34" i="36"/>
  <c r="AD34" i="36"/>
  <c r="L34" i="36"/>
  <c r="M34" i="36"/>
  <c r="N34" i="36"/>
  <c r="D34" i="36"/>
  <c r="E34" i="36"/>
  <c r="F34" i="36"/>
  <c r="AB33" i="36"/>
  <c r="AC33" i="36"/>
  <c r="AD33" i="36"/>
  <c r="L33" i="36"/>
  <c r="M33" i="36"/>
  <c r="N33" i="36"/>
  <c r="D33" i="36"/>
  <c r="E33" i="36"/>
  <c r="F33" i="36"/>
  <c r="AB32" i="36"/>
  <c r="AC32" i="36"/>
  <c r="AD32" i="36"/>
  <c r="L32" i="36"/>
  <c r="M32" i="36"/>
  <c r="N32" i="36"/>
  <c r="D32" i="36"/>
  <c r="E32" i="36"/>
  <c r="F32" i="36"/>
  <c r="AB31" i="36"/>
  <c r="AC31" i="36"/>
  <c r="AD31" i="36"/>
  <c r="L31" i="36"/>
  <c r="M31" i="36"/>
  <c r="N31" i="36"/>
  <c r="D31" i="36"/>
  <c r="E31" i="36"/>
  <c r="F31" i="36"/>
  <c r="AB30" i="36"/>
  <c r="AC30" i="36"/>
  <c r="AD30" i="36"/>
  <c r="L30" i="36"/>
  <c r="M30" i="36"/>
  <c r="N30" i="36"/>
  <c r="D30" i="36"/>
  <c r="E30" i="36"/>
  <c r="F30" i="36"/>
  <c r="AB29" i="36"/>
  <c r="AC29" i="36"/>
  <c r="AD29" i="36"/>
  <c r="L29" i="36"/>
  <c r="M29" i="36"/>
  <c r="N29" i="36"/>
  <c r="D29" i="36"/>
  <c r="E29" i="36"/>
  <c r="F29" i="36"/>
  <c r="AB28" i="36"/>
  <c r="AC28" i="36"/>
  <c r="AD28" i="36"/>
  <c r="L28" i="36"/>
  <c r="M28" i="36"/>
  <c r="N28" i="36"/>
  <c r="D28" i="36"/>
  <c r="E28" i="36"/>
  <c r="F28" i="36"/>
  <c r="AB27" i="36"/>
  <c r="AC27" i="36"/>
  <c r="AD27" i="36"/>
  <c r="L27" i="36"/>
  <c r="M27" i="36"/>
  <c r="N27" i="36"/>
  <c r="D27" i="36"/>
  <c r="E27" i="36"/>
  <c r="F27" i="36"/>
  <c r="AB26" i="36"/>
  <c r="AC26" i="36"/>
  <c r="AD26" i="36"/>
  <c r="L26" i="36"/>
  <c r="M26" i="36"/>
  <c r="N26" i="36"/>
  <c r="D26" i="36"/>
  <c r="E26" i="36"/>
  <c r="F26" i="36"/>
  <c r="AB25" i="36"/>
  <c r="AC25" i="36"/>
  <c r="AD25" i="36"/>
  <c r="L25" i="36"/>
  <c r="M25" i="36"/>
  <c r="N25" i="36"/>
  <c r="D25" i="36"/>
  <c r="E25" i="36"/>
  <c r="F25" i="36"/>
  <c r="AB24" i="36"/>
  <c r="AC24" i="36"/>
  <c r="AD24" i="36"/>
  <c r="L24" i="36"/>
  <c r="M24" i="36"/>
  <c r="N24" i="36"/>
  <c r="D24" i="36"/>
  <c r="E24" i="36"/>
  <c r="F24" i="36"/>
  <c r="AB23" i="36"/>
  <c r="AC23" i="36"/>
  <c r="AD23" i="36"/>
  <c r="L23" i="36"/>
  <c r="M23" i="36"/>
  <c r="N23" i="36"/>
  <c r="D23" i="36"/>
  <c r="E23" i="36"/>
  <c r="F23" i="36"/>
  <c r="AB22" i="36"/>
  <c r="AC22" i="36"/>
  <c r="AD22" i="36"/>
  <c r="L22" i="36"/>
  <c r="M22" i="36"/>
  <c r="N22" i="36"/>
  <c r="D22" i="36"/>
  <c r="E22" i="36"/>
  <c r="F22" i="36"/>
  <c r="AB21" i="36"/>
  <c r="AC21" i="36"/>
  <c r="AD21" i="36"/>
  <c r="L21" i="36"/>
  <c r="M21" i="36"/>
  <c r="N21" i="36"/>
  <c r="D21" i="36"/>
  <c r="E21" i="36"/>
  <c r="F21" i="36"/>
  <c r="AB20" i="36"/>
  <c r="AC20" i="36"/>
  <c r="AD20" i="36"/>
  <c r="L20" i="36"/>
  <c r="M20" i="36"/>
  <c r="N20" i="36"/>
  <c r="D20" i="36"/>
  <c r="E20" i="36"/>
  <c r="F20" i="36"/>
  <c r="AB19" i="36"/>
  <c r="AC19" i="36"/>
  <c r="AD19" i="36"/>
  <c r="L19" i="36"/>
  <c r="M19" i="36"/>
  <c r="N19" i="36"/>
  <c r="D19" i="36"/>
  <c r="E19" i="36"/>
  <c r="F19" i="36"/>
  <c r="AB18" i="36"/>
  <c r="AC18" i="36"/>
  <c r="AD18" i="36"/>
  <c r="L18" i="36"/>
  <c r="M18" i="36"/>
  <c r="N18" i="36"/>
  <c r="D18" i="36"/>
  <c r="E18" i="36"/>
  <c r="F18" i="36"/>
  <c r="AB17" i="36"/>
  <c r="AC17" i="36"/>
  <c r="AD17" i="36"/>
  <c r="L17" i="36"/>
  <c r="M17" i="36"/>
  <c r="N17" i="36"/>
  <c r="D17" i="36"/>
  <c r="E17" i="36"/>
  <c r="F17" i="36"/>
  <c r="AB16" i="36"/>
  <c r="AC16" i="36"/>
  <c r="AD16" i="36"/>
  <c r="L16" i="36"/>
  <c r="M16" i="36"/>
  <c r="N16" i="36"/>
  <c r="D16" i="36"/>
  <c r="E16" i="36"/>
  <c r="F16" i="36"/>
  <c r="AB15" i="36"/>
  <c r="AC15" i="36"/>
  <c r="AD15" i="36"/>
  <c r="L15" i="36"/>
  <c r="M15" i="36"/>
  <c r="N15" i="36"/>
  <c r="D15" i="36"/>
  <c r="E15" i="36"/>
  <c r="F15" i="36"/>
  <c r="AB14" i="36"/>
  <c r="AC14" i="36"/>
  <c r="AD14" i="36"/>
  <c r="L14" i="36"/>
  <c r="M14" i="36"/>
  <c r="N14" i="36"/>
  <c r="D14" i="36"/>
  <c r="E14" i="36"/>
  <c r="F14" i="36"/>
  <c r="AB13" i="36"/>
  <c r="AC13" i="36"/>
  <c r="AD13" i="36"/>
  <c r="L13" i="36"/>
  <c r="M13" i="36"/>
  <c r="N13" i="36"/>
  <c r="D13" i="36"/>
  <c r="E13" i="36"/>
  <c r="F13" i="36"/>
  <c r="AB12" i="36"/>
  <c r="AC12" i="36"/>
  <c r="AD12" i="36"/>
  <c r="L12" i="36"/>
  <c r="M12" i="36"/>
  <c r="N12" i="36"/>
  <c r="D12" i="36"/>
  <c r="E12" i="36"/>
  <c r="F12" i="36"/>
  <c r="AB11" i="36"/>
  <c r="AC11" i="36"/>
  <c r="AD11" i="36"/>
  <c r="L11" i="36"/>
  <c r="M11" i="36"/>
  <c r="N11" i="36"/>
  <c r="D11" i="36"/>
  <c r="E11" i="36"/>
  <c r="F11" i="36"/>
  <c r="AB10" i="36"/>
  <c r="AC10" i="36"/>
  <c r="AD10" i="36"/>
  <c r="L10" i="36"/>
  <c r="M10" i="36"/>
  <c r="N10" i="36"/>
  <c r="D10" i="36"/>
  <c r="E10" i="36"/>
  <c r="F10" i="36"/>
  <c r="AB9" i="36"/>
  <c r="AC9" i="36"/>
  <c r="AD9" i="36"/>
  <c r="L9" i="36"/>
  <c r="M9" i="36"/>
  <c r="N9" i="36"/>
  <c r="D9" i="36"/>
  <c r="E9" i="36"/>
  <c r="F9" i="36"/>
  <c r="AB8" i="36"/>
  <c r="AC8" i="36"/>
  <c r="AD8" i="36"/>
  <c r="L8" i="36"/>
  <c r="M8" i="36"/>
  <c r="N8" i="36"/>
  <c r="D8" i="36"/>
  <c r="E8" i="36"/>
  <c r="F8" i="36"/>
  <c r="AB7" i="36"/>
  <c r="AC7" i="36"/>
  <c r="AD7" i="36"/>
  <c r="L7" i="36"/>
  <c r="M7" i="36"/>
  <c r="N7" i="36"/>
  <c r="D7" i="36"/>
  <c r="E7" i="36"/>
  <c r="F7" i="36"/>
  <c r="AB6" i="36"/>
  <c r="AC6" i="36"/>
  <c r="AD6" i="36"/>
  <c r="L6" i="36"/>
  <c r="M6" i="36"/>
  <c r="N6" i="36"/>
  <c r="D6" i="36"/>
  <c r="E6" i="36"/>
  <c r="F6" i="36"/>
  <c r="AB5" i="36"/>
  <c r="AC5" i="36"/>
  <c r="AD5" i="36"/>
  <c r="L5" i="36"/>
  <c r="M5" i="36"/>
  <c r="N5" i="36"/>
  <c r="D5" i="36"/>
  <c r="E5" i="36"/>
  <c r="F5" i="36"/>
  <c r="AD4" i="36"/>
  <c r="L4" i="36"/>
  <c r="M4" i="36"/>
  <c r="N4" i="36"/>
  <c r="D4" i="36"/>
  <c r="E4" i="36"/>
  <c r="F4" i="36"/>
  <c r="AC3" i="36"/>
  <c r="AD3" i="36"/>
  <c r="L3" i="36"/>
  <c r="M3" i="36"/>
  <c r="N3" i="36"/>
  <c r="D3" i="36"/>
  <c r="E3" i="36"/>
  <c r="F3" i="36"/>
  <c r="AC2" i="36"/>
  <c r="AD2" i="36"/>
  <c r="L2" i="36"/>
  <c r="M2" i="36"/>
  <c r="N2" i="36"/>
  <c r="D2" i="36"/>
  <c r="E2" i="36"/>
  <c r="F2" i="36"/>
  <c r="BC36" i="4"/>
  <c r="BC34" i="4"/>
  <c r="AN4" i="4"/>
  <c r="AN6" i="4"/>
  <c r="AN5" i="4"/>
  <c r="AN7" i="4"/>
  <c r="AN11" i="4"/>
  <c r="AP10" i="4" s="1"/>
  <c r="C6" i="4"/>
  <c r="C7" i="4"/>
  <c r="C8" i="4"/>
  <c r="C9" i="4"/>
  <c r="C10" i="4"/>
  <c r="C11" i="4"/>
  <c r="AZ10" i="4"/>
  <c r="AX10" i="4"/>
  <c r="AN10" i="4"/>
  <c r="AF10" i="4"/>
  <c r="AZ9" i="4"/>
  <c r="AX9" i="4"/>
  <c r="AN9" i="4"/>
  <c r="Z9" i="4"/>
  <c r="AD9" i="4"/>
  <c r="AZ8" i="4"/>
  <c r="AX8" i="4"/>
  <c r="AN8" i="4"/>
  <c r="AZ7" i="4"/>
  <c r="AX7" i="4"/>
  <c r="AK7" i="4"/>
  <c r="AZ6" i="4"/>
  <c r="AX6" i="4"/>
  <c r="AZ5" i="4"/>
  <c r="AX5" i="4"/>
  <c r="AZ4" i="4"/>
  <c r="AX4" i="4"/>
  <c r="K46" i="56" l="1"/>
  <c r="N54" i="56"/>
  <c r="K43" i="56"/>
  <c r="J26" i="55"/>
  <c r="J22" i="55"/>
  <c r="K22" i="55"/>
  <c r="K26" i="55"/>
  <c r="I26" i="55"/>
  <c r="I22" i="55"/>
  <c r="I21" i="55"/>
  <c r="G14" i="55"/>
  <c r="AF14" i="26"/>
  <c r="F16" i="27" s="1"/>
  <c r="AF9" i="26"/>
  <c r="F11" i="27" s="1"/>
  <c r="E5" i="27"/>
  <c r="AG12" i="26"/>
  <c r="G14" i="27" s="1"/>
  <c r="AE15" i="26"/>
  <c r="E18" i="27" s="1"/>
  <c r="J34" i="29" s="1"/>
  <c r="J57" i="29" s="1"/>
  <c r="AG9" i="26"/>
  <c r="G11" i="27" s="1"/>
  <c r="AF12" i="26"/>
  <c r="F14" i="27" s="1"/>
  <c r="AF7" i="26"/>
  <c r="F9" i="27" s="1"/>
  <c r="AE14" i="26"/>
  <c r="E16" i="27" s="1"/>
  <c r="J4" i="29"/>
  <c r="AF15" i="26"/>
  <c r="F18" i="27" s="1"/>
  <c r="V34" i="29" s="1"/>
  <c r="V57" i="29" s="1"/>
  <c r="AE13" i="26"/>
  <c r="E15" i="27" s="1"/>
  <c r="AA8" i="26"/>
  <c r="L11" i="27" s="1"/>
  <c r="AF10" i="26"/>
  <c r="F12" i="27" s="1"/>
  <c r="Z16" i="26"/>
  <c r="K19" i="27" s="1"/>
  <c r="AG6" i="26"/>
  <c r="G8" i="27" s="1"/>
  <c r="AG8" i="26"/>
  <c r="G10" i="27" s="1"/>
  <c r="G17" i="27" s="1"/>
  <c r="E25" i="27" s="1"/>
  <c r="AG11" i="26"/>
  <c r="G13" i="27" s="1"/>
  <c r="AF13" i="26"/>
  <c r="F15" i="27" s="1"/>
  <c r="AE10" i="26"/>
  <c r="E12" i="27" s="1"/>
  <c r="Z13" i="26"/>
  <c r="K16" i="27" s="1"/>
  <c r="AA14" i="26"/>
  <c r="L17" i="27" s="1"/>
  <c r="AE6" i="26"/>
  <c r="E8" i="27" s="1"/>
  <c r="AE8" i="26"/>
  <c r="E10" i="27" s="1"/>
  <c r="AE11" i="26"/>
  <c r="E13" i="27" s="1"/>
  <c r="AG14" i="26"/>
  <c r="G16" i="27" s="1"/>
  <c r="AG10" i="26"/>
  <c r="G12" i="27" s="1"/>
  <c r="AF6" i="26"/>
  <c r="F8" i="27" s="1"/>
  <c r="AF8" i="26"/>
  <c r="F10" i="27" s="1"/>
  <c r="AF11" i="26"/>
  <c r="F13" i="27" s="1"/>
  <c r="AF16" i="26"/>
  <c r="F19" i="27" s="1"/>
  <c r="J35" i="29" s="1"/>
  <c r="J58" i="29" s="1"/>
  <c r="AE7" i="26"/>
  <c r="E9" i="27" s="1"/>
  <c r="AE9" i="26"/>
  <c r="E11" i="27" s="1"/>
  <c r="AE12" i="26"/>
  <c r="E14" i="27" s="1"/>
  <c r="AG13" i="26"/>
  <c r="G15" i="27" s="1"/>
  <c r="Z11" i="26"/>
  <c r="K14" i="27" s="1"/>
  <c r="AA16" i="26"/>
  <c r="L19" i="27" s="1"/>
  <c r="AA10" i="26"/>
  <c r="L13" i="27" s="1"/>
  <c r="Z14" i="26"/>
  <c r="K17" i="27" s="1"/>
  <c r="Z5" i="26"/>
  <c r="K8" i="27" s="1"/>
  <c r="AA13" i="26"/>
  <c r="L16" i="27" s="1"/>
  <c r="AA7" i="26"/>
  <c r="L10" i="27" s="1"/>
  <c r="M10" i="27" s="1"/>
  <c r="Z10" i="26"/>
  <c r="K13" i="27" s="1"/>
  <c r="AA11" i="26"/>
  <c r="L14" i="27" s="1"/>
  <c r="AA5" i="26"/>
  <c r="L8" i="27" s="1"/>
  <c r="Z8" i="26"/>
  <c r="K11" i="27" s="1"/>
  <c r="F17" i="27"/>
  <c r="D43" i="6" s="1"/>
  <c r="I20" i="3"/>
  <c r="D12" i="39"/>
  <c r="C33" i="39"/>
  <c r="V7" i="56"/>
  <c r="V9" i="56"/>
  <c r="W9" i="56" s="1"/>
  <c r="N27" i="56"/>
  <c r="N39" i="56" s="1"/>
  <c r="V33" i="16"/>
  <c r="K27" i="16"/>
  <c r="E6" i="3" s="1"/>
  <c r="E7" i="3" s="1"/>
  <c r="AP9" i="4"/>
  <c r="AP8" i="4"/>
  <c r="AP6" i="4"/>
  <c r="AP4" i="4"/>
  <c r="AP5" i="4"/>
  <c r="AP7" i="4"/>
  <c r="W6" i="16"/>
  <c r="K9" i="27"/>
  <c r="AA15" i="26"/>
  <c r="L18" i="27" s="1"/>
  <c r="AA12" i="26"/>
  <c r="L15" i="27" s="1"/>
  <c r="AA9" i="26"/>
  <c r="L12" i="27" s="1"/>
  <c r="AA6" i="26"/>
  <c r="L9" i="27" s="1"/>
  <c r="Z15" i="26"/>
  <c r="K18" i="27" s="1"/>
  <c r="Z12" i="26"/>
  <c r="K15" i="27" s="1"/>
  <c r="Z9" i="26"/>
  <c r="K12" i="27" s="1"/>
  <c r="G27" i="55"/>
  <c r="H22" i="55"/>
  <c r="H26" i="55"/>
  <c r="G20" i="55"/>
  <c r="H21" i="55"/>
  <c r="K27" i="56"/>
  <c r="K47" i="56" l="1"/>
  <c r="E14" i="3" s="1"/>
  <c r="C34" i="39" s="1"/>
  <c r="N55" i="56"/>
  <c r="M27" i="31"/>
  <c r="C14" i="3"/>
  <c r="C52" i="39" s="1"/>
  <c r="G21" i="55"/>
  <c r="M8" i="27"/>
  <c r="E17" i="27"/>
  <c r="J32" i="29" s="1"/>
  <c r="J55" i="29" s="1"/>
  <c r="M11" i="27"/>
  <c r="M14" i="27"/>
  <c r="E24" i="27"/>
  <c r="D50" i="11"/>
  <c r="CP52" i="11" s="1"/>
  <c r="D49" i="8"/>
  <c r="X51" i="8" s="1"/>
  <c r="D27" i="55"/>
  <c r="AA29" i="55" s="1"/>
  <c r="D45" i="6"/>
  <c r="AR46" i="6" s="1"/>
  <c r="M19" i="27"/>
  <c r="M17" i="27"/>
  <c r="M12" i="27"/>
  <c r="M16" i="27"/>
  <c r="D23" i="15"/>
  <c r="G28" i="15" s="1"/>
  <c r="D43" i="13"/>
  <c r="BY48" i="13" s="1"/>
  <c r="E26" i="27"/>
  <c r="D47" i="8"/>
  <c r="R50" i="8" s="1"/>
  <c r="D48" i="11"/>
  <c r="BN53" i="11" s="1"/>
  <c r="Z17" i="26"/>
  <c r="D26" i="55"/>
  <c r="X28" i="55" s="1"/>
  <c r="M9" i="27"/>
  <c r="M13" i="27"/>
  <c r="L20" i="27"/>
  <c r="D45" i="19"/>
  <c r="CO53" i="11"/>
  <c r="CJ46" i="6"/>
  <c r="V32" i="29"/>
  <c r="V55" i="29" s="1"/>
  <c r="K11" i="43"/>
  <c r="W7" i="56"/>
  <c r="G10" i="31"/>
  <c r="Q10" i="31" s="1"/>
  <c r="K39" i="16"/>
  <c r="K55" i="16" s="1"/>
  <c r="R33" i="16" s="1"/>
  <c r="R34" i="16"/>
  <c r="E25" i="3"/>
  <c r="G25" i="3" s="1"/>
  <c r="M18" i="27"/>
  <c r="K20" i="27"/>
  <c r="AJ53" i="11"/>
  <c r="M15" i="27"/>
  <c r="AA17" i="26"/>
  <c r="X29" i="55"/>
  <c r="O29" i="55"/>
  <c r="J29" i="55"/>
  <c r="AR47" i="6"/>
  <c r="AL47" i="6"/>
  <c r="S47" i="6"/>
  <c r="AT47" i="6"/>
  <c r="AN47" i="6"/>
  <c r="O47" i="6"/>
  <c r="CU51" i="8"/>
  <c r="AA51" i="8"/>
  <c r="BV51" i="8"/>
  <c r="D100" i="8"/>
  <c r="W51" i="8"/>
  <c r="AQ51" i="8"/>
  <c r="S51" i="8"/>
  <c r="BC51" i="8"/>
  <c r="L51" i="8"/>
  <c r="AJ51" i="8"/>
  <c r="W46" i="6"/>
  <c r="BD46" i="6"/>
  <c r="CX48" i="6"/>
  <c r="CR48" i="6"/>
  <c r="CL48" i="6"/>
  <c r="CF48" i="6"/>
  <c r="BZ48" i="6"/>
  <c r="BT48" i="6"/>
  <c r="BN48" i="6"/>
  <c r="BH48" i="6"/>
  <c r="BB48" i="6"/>
  <c r="AV48" i="6"/>
  <c r="AP48" i="6"/>
  <c r="AJ48" i="6"/>
  <c r="AD48" i="6"/>
  <c r="X48" i="6"/>
  <c r="R48" i="6"/>
  <c r="L48" i="6"/>
  <c r="Z46" i="6"/>
  <c r="D88" i="6"/>
  <c r="BS46" i="6"/>
  <c r="CZ48" i="6"/>
  <c r="CT48" i="6"/>
  <c r="CN48" i="6"/>
  <c r="CH48" i="6"/>
  <c r="CB48" i="6"/>
  <c r="BV48" i="6"/>
  <c r="BP48" i="6"/>
  <c r="BJ48" i="6"/>
  <c r="BD48" i="6"/>
  <c r="AX48" i="6"/>
  <c r="AR48" i="6"/>
  <c r="AL48" i="6"/>
  <c r="AF48" i="6"/>
  <c r="Z48" i="6"/>
  <c r="T48" i="6"/>
  <c r="N48" i="6"/>
  <c r="H48" i="6"/>
  <c r="DB48" i="6"/>
  <c r="CS48" i="6"/>
  <c r="CJ48" i="6"/>
  <c r="CA48" i="6"/>
  <c r="BR48" i="6"/>
  <c r="BI48" i="6"/>
  <c r="AZ48" i="6"/>
  <c r="AQ48" i="6"/>
  <c r="AH48" i="6"/>
  <c r="Y48" i="6"/>
  <c r="P48" i="6"/>
  <c r="G48" i="6"/>
  <c r="DA48" i="6"/>
  <c r="CQ48" i="6"/>
  <c r="CI48" i="6"/>
  <c r="BY48" i="6"/>
  <c r="BQ48" i="6"/>
  <c r="BG48" i="6"/>
  <c r="AY48" i="6"/>
  <c r="AO48" i="6"/>
  <c r="AG48" i="6"/>
  <c r="W48" i="6"/>
  <c r="O48" i="6"/>
  <c r="CY48" i="6"/>
  <c r="CP48" i="6"/>
  <c r="CG48" i="6"/>
  <c r="BX48" i="6"/>
  <c r="BO48" i="6"/>
  <c r="BF48" i="6"/>
  <c r="AW48" i="6"/>
  <c r="AN48" i="6"/>
  <c r="AE48" i="6"/>
  <c r="V48" i="6"/>
  <c r="M48" i="6"/>
  <c r="CW48" i="6"/>
  <c r="CO48" i="6"/>
  <c r="CE48" i="6"/>
  <c r="BW48" i="6"/>
  <c r="BM48" i="6"/>
  <c r="BE48" i="6"/>
  <c r="AU48" i="6"/>
  <c r="AM48" i="6"/>
  <c r="AC48" i="6"/>
  <c r="U48" i="6"/>
  <c r="K48" i="6"/>
  <c r="CV48" i="6"/>
  <c r="CM48" i="6"/>
  <c r="CD48" i="6"/>
  <c r="BU48" i="6"/>
  <c r="BL48" i="6"/>
  <c r="BC48" i="6"/>
  <c r="AT48" i="6"/>
  <c r="AK48" i="6"/>
  <c r="AB48" i="6"/>
  <c r="S48" i="6"/>
  <c r="J48" i="6"/>
  <c r="DC48" i="6"/>
  <c r="CU48" i="6"/>
  <c r="CK48" i="6"/>
  <c r="CC48" i="6"/>
  <c r="BS48" i="6"/>
  <c r="BK48" i="6"/>
  <c r="BA48" i="6"/>
  <c r="AS48" i="6"/>
  <c r="AI48" i="6"/>
  <c r="AA48" i="6"/>
  <c r="Q48" i="6"/>
  <c r="I48" i="6"/>
  <c r="CM50" i="19"/>
  <c r="CG50" i="19"/>
  <c r="CJ50" i="19"/>
  <c r="Y30" i="55"/>
  <c r="AY50" i="8"/>
  <c r="T52" i="8"/>
  <c r="C14" i="2"/>
  <c r="C15" i="2" s="1"/>
  <c r="L38" i="29" s="1"/>
  <c r="K8" i="43"/>
  <c r="G26" i="55"/>
  <c r="G16" i="31"/>
  <c r="E30" i="3"/>
  <c r="K39" i="56"/>
  <c r="D16" i="39" l="1"/>
  <c r="K54" i="56"/>
  <c r="C30" i="3" s="1"/>
  <c r="C32" i="3" s="1"/>
  <c r="Q27" i="31"/>
  <c r="M31" i="31"/>
  <c r="DB52" i="8"/>
  <c r="BE52" i="8"/>
  <c r="DA50" i="8"/>
  <c r="CG46" i="6"/>
  <c r="BY47" i="6"/>
  <c r="AO52" i="8"/>
  <c r="AQ50" i="8"/>
  <c r="CH48" i="13"/>
  <c r="CI46" i="6"/>
  <c r="CE47" i="6"/>
  <c r="L29" i="55"/>
  <c r="CC52" i="11"/>
  <c r="AD50" i="8"/>
  <c r="P52" i="8"/>
  <c r="AI50" i="8"/>
  <c r="BN52" i="11"/>
  <c r="AV46" i="6"/>
  <c r="AY52" i="11"/>
  <c r="AL46" i="6"/>
  <c r="X52" i="8"/>
  <c r="Z28" i="55"/>
  <c r="CA46" i="6"/>
  <c r="I47" i="6"/>
  <c r="G47" i="6"/>
  <c r="U29" i="55"/>
  <c r="BJ52" i="11"/>
  <c r="BQ46" i="6"/>
  <c r="D25" i="15"/>
  <c r="G27" i="15" s="1"/>
  <c r="CI52" i="11"/>
  <c r="BP52" i="11"/>
  <c r="BB46" i="6"/>
  <c r="DC46" i="6"/>
  <c r="BE47" i="6"/>
  <c r="CP47" i="6"/>
  <c r="AD47" i="6"/>
  <c r="CH47" i="6"/>
  <c r="K52" i="11"/>
  <c r="CR52" i="11"/>
  <c r="CB52" i="11"/>
  <c r="CP46" i="6"/>
  <c r="J30" i="55"/>
  <c r="AB46" i="6"/>
  <c r="BZ46" i="6"/>
  <c r="CX46" i="6"/>
  <c r="CC47" i="6"/>
  <c r="Q47" i="6"/>
  <c r="BB47" i="6"/>
  <c r="CA47" i="6"/>
  <c r="CY47" i="6"/>
  <c r="N29" i="55"/>
  <c r="BU52" i="11"/>
  <c r="BY52" i="11"/>
  <c r="BI52" i="11"/>
  <c r="CD52" i="11"/>
  <c r="BK46" i="6"/>
  <c r="N46" i="6"/>
  <c r="BW46" i="6"/>
  <c r="D47" i="19"/>
  <c r="CN48" i="19" s="1"/>
  <c r="CO52" i="11"/>
  <c r="CU52" i="11"/>
  <c r="R46" i="6"/>
  <c r="BG46" i="6"/>
  <c r="BI47" i="6"/>
  <c r="CX52" i="11"/>
  <c r="J52" i="11"/>
  <c r="CB46" i="6"/>
  <c r="AT48" i="13"/>
  <c r="BY46" i="6"/>
  <c r="H29" i="55"/>
  <c r="CI47" i="6"/>
  <c r="W47" i="6"/>
  <c r="BH47" i="6"/>
  <c r="CM47" i="6"/>
  <c r="D90" i="6"/>
  <c r="R29" i="55"/>
  <c r="CE52" i="11"/>
  <c r="CG52" i="11"/>
  <c r="BS52" i="11"/>
  <c r="CJ52" i="11"/>
  <c r="CH46" i="6"/>
  <c r="AA46" i="6"/>
  <c r="D45" i="13"/>
  <c r="CE47" i="13" s="1"/>
  <c r="AU46" i="6"/>
  <c r="BJ46" i="6"/>
  <c r="CO46" i="6"/>
  <c r="AH47" i="6"/>
  <c r="BS47" i="6"/>
  <c r="DA47" i="6"/>
  <c r="AF47" i="6"/>
  <c r="S29" i="55"/>
  <c r="CM52" i="11"/>
  <c r="CQ52" i="11"/>
  <c r="CK52" i="11"/>
  <c r="BP52" i="8"/>
  <c r="BL52" i="8"/>
  <c r="CO52" i="8"/>
  <c r="BH52" i="8"/>
  <c r="AR50" i="8"/>
  <c r="DB50" i="8"/>
  <c r="M50" i="8"/>
  <c r="CM51" i="8"/>
  <c r="CW51" i="8"/>
  <c r="CA51" i="8"/>
  <c r="T51" i="8"/>
  <c r="AY51" i="8"/>
  <c r="BU52" i="8"/>
  <c r="CU52" i="8"/>
  <c r="BN52" i="8"/>
  <c r="CK50" i="8"/>
  <c r="CU50" i="8"/>
  <c r="Z50" i="8"/>
  <c r="AN51" i="8"/>
  <c r="CK51" i="8"/>
  <c r="AF51" i="8"/>
  <c r="BE51" i="8"/>
  <c r="BF46" i="6"/>
  <c r="BH46" i="6"/>
  <c r="AZ46" i="6"/>
  <c r="AE46" i="6"/>
  <c r="BU46" i="6"/>
  <c r="V46" i="6"/>
  <c r="BO46" i="6"/>
  <c r="DC47" i="6"/>
  <c r="CN47" i="6"/>
  <c r="BD47" i="6"/>
  <c r="T47" i="6"/>
  <c r="CG47" i="6"/>
  <c r="AW47" i="6"/>
  <c r="M47" i="6"/>
  <c r="BZ47" i="6"/>
  <c r="AP47" i="6"/>
  <c r="CZ47" i="6"/>
  <c r="BM47" i="6"/>
  <c r="AC47" i="6"/>
  <c r="CJ47" i="6"/>
  <c r="AZ47" i="6"/>
  <c r="P47" i="6"/>
  <c r="BW47" i="6"/>
  <c r="AM47" i="6"/>
  <c r="CR46" i="6"/>
  <c r="AJ46" i="6"/>
  <c r="CK46" i="6"/>
  <c r="AC46" i="6"/>
  <c r="S46" i="6"/>
  <c r="DB46" i="6"/>
  <c r="CN46" i="6"/>
  <c r="CV46" i="6"/>
  <c r="AO46" i="6"/>
  <c r="BP46" i="6"/>
  <c r="BX46" i="6"/>
  <c r="CT46" i="6"/>
  <c r="H46" i="6"/>
  <c r="AG46" i="6"/>
  <c r="I46" i="6"/>
  <c r="X46" i="6"/>
  <c r="CQ46" i="6"/>
  <c r="CS47" i="6"/>
  <c r="BJ47" i="6"/>
  <c r="N47" i="6"/>
  <c r="BU47" i="6"/>
  <c r="AE47" i="6"/>
  <c r="CL47" i="6"/>
  <c r="AV47" i="6"/>
  <c r="CQ47" i="6"/>
  <c r="BA47" i="6"/>
  <c r="K47" i="6"/>
  <c r="BL47" i="6"/>
  <c r="V47" i="6"/>
  <c r="BQ47" i="6"/>
  <c r="AA47" i="6"/>
  <c r="J46" i="6"/>
  <c r="U46" i="6"/>
  <c r="P46" i="6"/>
  <c r="T46" i="6"/>
  <c r="M46" i="6"/>
  <c r="Y46" i="6"/>
  <c r="CL46" i="6"/>
  <c r="CS46" i="6"/>
  <c r="BC46" i="6"/>
  <c r="AM46" i="6"/>
  <c r="CY46" i="6"/>
  <c r="BV46" i="6"/>
  <c r="AK46" i="6"/>
  <c r="CU47" i="6"/>
  <c r="AX47" i="6"/>
  <c r="H47" i="6"/>
  <c r="BO47" i="6"/>
  <c r="Y47" i="6"/>
  <c r="CF47" i="6"/>
  <c r="AJ47" i="6"/>
  <c r="CK47" i="6"/>
  <c r="AU47" i="6"/>
  <c r="CX47" i="6"/>
  <c r="BF47" i="6"/>
  <c r="J47" i="6"/>
  <c r="BK47" i="6"/>
  <c r="U47" i="6"/>
  <c r="BN46" i="6"/>
  <c r="BT46" i="6"/>
  <c r="AH46" i="6"/>
  <c r="AI46" i="6"/>
  <c r="AN46" i="6"/>
  <c r="AP46" i="6"/>
  <c r="AD46" i="6"/>
  <c r="CU46" i="6"/>
  <c r="AS46" i="6"/>
  <c r="AQ46" i="6"/>
  <c r="Q46" i="6"/>
  <c r="BM46" i="6"/>
  <c r="AQ52" i="8"/>
  <c r="Z52" i="8"/>
  <c r="I50" i="8"/>
  <c r="DC52" i="8"/>
  <c r="D98" i="8"/>
  <c r="M101" i="8" s="1"/>
  <c r="AV50" i="8"/>
  <c r="AF46" i="6"/>
  <c r="CZ46" i="6"/>
  <c r="BL46" i="6"/>
  <c r="AT46" i="6"/>
  <c r="AG47" i="6"/>
  <c r="Y50" i="8"/>
  <c r="S50" i="8"/>
  <c r="CM50" i="8"/>
  <c r="BX50" i="8"/>
  <c r="BK50" i="8"/>
  <c r="BC50" i="8"/>
  <c r="BJ50" i="8"/>
  <c r="BD50" i="8"/>
  <c r="AX50" i="8"/>
  <c r="BF50" i="8"/>
  <c r="Q50" i="8"/>
  <c r="CB50" i="8"/>
  <c r="BB52" i="8"/>
  <c r="CW52" i="8"/>
  <c r="AC52" i="8"/>
  <c r="CI52" i="8"/>
  <c r="O52" i="8"/>
  <c r="CT52" i="8"/>
  <c r="AW52" i="8"/>
  <c r="V52" i="8"/>
  <c r="BA50" i="8"/>
  <c r="CA50" i="8"/>
  <c r="BQ50" i="8"/>
  <c r="CN50" i="8"/>
  <c r="BZ50" i="8"/>
  <c r="P50" i="8"/>
  <c r="BW50" i="8"/>
  <c r="CX52" i="8"/>
  <c r="AD52" i="8"/>
  <c r="BY52" i="8"/>
  <c r="AM50" i="8"/>
  <c r="BK52" i="8"/>
  <c r="CJ52" i="8"/>
  <c r="AX52" i="8"/>
  <c r="J50" i="8"/>
  <c r="CN52" i="8"/>
  <c r="BO52" i="8"/>
  <c r="DA51" i="8"/>
  <c r="BQ51" i="8"/>
  <c r="AG51" i="8"/>
  <c r="CT51" i="8"/>
  <c r="BJ51" i="8"/>
  <c r="Z51" i="8"/>
  <c r="CQ51" i="8"/>
  <c r="AO51" i="8"/>
  <c r="CL51" i="8"/>
  <c r="BI51" i="8"/>
  <c r="CJ51" i="8"/>
  <c r="DB51" i="8"/>
  <c r="R51" i="8"/>
  <c r="AP51" i="8"/>
  <c r="BB51" i="8"/>
  <c r="BM51" i="8"/>
  <c r="BX51" i="8"/>
  <c r="CI51" i="8"/>
  <c r="AS51" i="8"/>
  <c r="CZ51" i="8"/>
  <c r="BD51" i="8"/>
  <c r="N51" i="8"/>
  <c r="BO51" i="8"/>
  <c r="CX51" i="8"/>
  <c r="BS51" i="8"/>
  <c r="BU51" i="8"/>
  <c r="BT51" i="8"/>
  <c r="CE51" i="8"/>
  <c r="CD51" i="8"/>
  <c r="BZ51" i="8"/>
  <c r="BL51" i="8"/>
  <c r="CC51" i="8"/>
  <c r="AM51" i="8"/>
  <c r="CN51" i="8"/>
  <c r="AX51" i="8"/>
  <c r="H51" i="8"/>
  <c r="BG51" i="8"/>
  <c r="CV51" i="8"/>
  <c r="BA51" i="8"/>
  <c r="BH51" i="8"/>
  <c r="BF51" i="8"/>
  <c r="BR51" i="8"/>
  <c r="BN51" i="8"/>
  <c r="AZ51" i="8"/>
  <c r="AV51" i="8"/>
  <c r="BI52" i="8"/>
  <c r="BM52" i="8"/>
  <c r="CZ50" i="8"/>
  <c r="AG50" i="8"/>
  <c r="AB51" i="8"/>
  <c r="AH51" i="8"/>
  <c r="AE51" i="8"/>
  <c r="CB51" i="8"/>
  <c r="CB52" i="8"/>
  <c r="BX52" i="8"/>
  <c r="BS52" i="8"/>
  <c r="AC50" i="8"/>
  <c r="K51" i="8"/>
  <c r="G51" i="8"/>
  <c r="AU51" i="8"/>
  <c r="AW51" i="8"/>
  <c r="CH51" i="8"/>
  <c r="CP48" i="13"/>
  <c r="V48" i="13"/>
  <c r="AC48" i="13"/>
  <c r="AD48" i="13"/>
  <c r="DA52" i="11"/>
  <c r="BV52" i="11"/>
  <c r="AL52" i="11"/>
  <c r="DC52" i="11"/>
  <c r="BR52" i="11"/>
  <c r="AH52" i="11"/>
  <c r="CL52" i="11"/>
  <c r="AJ52" i="11"/>
  <c r="CA52" i="11"/>
  <c r="Y52" i="11"/>
  <c r="BQ52" i="11"/>
  <c r="O52" i="11"/>
  <c r="BO52" i="11"/>
  <c r="M52" i="11"/>
  <c r="BE52" i="11"/>
  <c r="CW52" i="11"/>
  <c r="AU52" i="11"/>
  <c r="CT52" i="11"/>
  <c r="BD52" i="11"/>
  <c r="N52" i="11"/>
  <c r="BX52" i="11"/>
  <c r="AB52" i="11"/>
  <c r="BT52" i="11"/>
  <c r="I52" i="11"/>
  <c r="AQ52" i="11"/>
  <c r="BZ52" i="11"/>
  <c r="G52" i="11"/>
  <c r="AW52" i="11"/>
  <c r="CF52" i="11"/>
  <c r="U52" i="11"/>
  <c r="BC52" i="11"/>
  <c r="W51" i="11"/>
  <c r="CN52" i="11"/>
  <c r="AX52" i="11"/>
  <c r="H52" i="11"/>
  <c r="BL52" i="11"/>
  <c r="V52" i="11"/>
  <c r="BK52" i="11"/>
  <c r="CS52" i="11"/>
  <c r="AI52" i="11"/>
  <c r="BH52" i="11"/>
  <c r="CY52" i="11"/>
  <c r="AO52" i="11"/>
  <c r="BW52" i="11"/>
  <c r="L52" i="11"/>
  <c r="AK52" i="11"/>
  <c r="BT51" i="11"/>
  <c r="CH52" i="11"/>
  <c r="AR52" i="11"/>
  <c r="CV52" i="11"/>
  <c r="BF52" i="11"/>
  <c r="P52" i="11"/>
  <c r="BB52" i="11"/>
  <c r="AH52" i="8"/>
  <c r="U52" i="8"/>
  <c r="CL52" i="8"/>
  <c r="CO50" i="8"/>
  <c r="BW48" i="13"/>
  <c r="L46" i="6"/>
  <c r="K46" i="6"/>
  <c r="AG51" i="11"/>
  <c r="BA46" i="6"/>
  <c r="CR51" i="8"/>
  <c r="AD51" i="8"/>
  <c r="Q51" i="8"/>
  <c r="CS51" i="8"/>
  <c r="BY51" i="8"/>
  <c r="AL51" i="8"/>
  <c r="I51" i="8"/>
  <c r="BK51" i="8"/>
  <c r="CO47" i="6"/>
  <c r="BR47" i="6"/>
  <c r="AI47" i="6"/>
  <c r="L47" i="6"/>
  <c r="BN47" i="6"/>
  <c r="AK47" i="6"/>
  <c r="CT47" i="6"/>
  <c r="BP47" i="6"/>
  <c r="CW47" i="6"/>
  <c r="S52" i="11"/>
  <c r="AD52" i="11"/>
  <c r="W52" i="11"/>
  <c r="X52" i="11"/>
  <c r="DB52" i="11"/>
  <c r="R52" i="11"/>
  <c r="AN52" i="11"/>
  <c r="T52" i="11"/>
  <c r="CZ52" i="11"/>
  <c r="CD46" i="6"/>
  <c r="CW46" i="6"/>
  <c r="CC46" i="6"/>
  <c r="BC52" i="8"/>
  <c r="AT52" i="8"/>
  <c r="AL52" i="8"/>
  <c r="AA52" i="8"/>
  <c r="CD50" i="8"/>
  <c r="CC50" i="8"/>
  <c r="CR52" i="8"/>
  <c r="CX50" i="8"/>
  <c r="CH50" i="8"/>
  <c r="T50" i="8"/>
  <c r="CG50" i="8"/>
  <c r="CF46" i="6"/>
  <c r="AW46" i="6"/>
  <c r="O46" i="6"/>
  <c r="J51" i="8"/>
  <c r="AK51" i="8"/>
  <c r="P51" i="8"/>
  <c r="AT51" i="8"/>
  <c r="Y51" i="8"/>
  <c r="DC51" i="8"/>
  <c r="CG51" i="8"/>
  <c r="AR51" i="8"/>
  <c r="O51" i="8"/>
  <c r="BW51" i="8"/>
  <c r="AS47" i="6"/>
  <c r="CV47" i="6"/>
  <c r="BX47" i="6"/>
  <c r="AO47" i="6"/>
  <c r="R47" i="6"/>
  <c r="BT47" i="6"/>
  <c r="AQ47" i="6"/>
  <c r="DB47" i="6"/>
  <c r="BV47" i="6"/>
  <c r="D56" i="15"/>
  <c r="AC52" i="11"/>
  <c r="AM52" i="11"/>
  <c r="AE52" i="11"/>
  <c r="AG52" i="11"/>
  <c r="Q52" i="11"/>
  <c r="AA52" i="11"/>
  <c r="AT52" i="11"/>
  <c r="Z52" i="11"/>
  <c r="D101" i="11"/>
  <c r="H52" i="8"/>
  <c r="CP52" i="8"/>
  <c r="CR50" i="8"/>
  <c r="AY52" i="8"/>
  <c r="AI52" i="8"/>
  <c r="R52" i="8"/>
  <c r="BM50" i="8"/>
  <c r="AS50" i="8"/>
  <c r="AP50" i="8"/>
  <c r="L50" i="8"/>
  <c r="AW50" i="8"/>
  <c r="BC48" i="13"/>
  <c r="BR46" i="6"/>
  <c r="BI46" i="6"/>
  <c r="CE46" i="6"/>
  <c r="CM46" i="6"/>
  <c r="AY46" i="6"/>
  <c r="BE46" i="6"/>
  <c r="V51" i="8"/>
  <c r="CP51" i="8"/>
  <c r="AC51" i="8"/>
  <c r="CF51" i="8"/>
  <c r="AI51" i="8"/>
  <c r="M51" i="8"/>
  <c r="CY51" i="8"/>
  <c r="BP51" i="8"/>
  <c r="U51" i="8"/>
  <c r="CO51" i="8"/>
  <c r="AY47" i="6"/>
  <c r="AB47" i="6"/>
  <c r="CD47" i="6"/>
  <c r="BG47" i="6"/>
  <c r="X47" i="6"/>
  <c r="CR47" i="6"/>
  <c r="BC47" i="6"/>
  <c r="Z47" i="6"/>
  <c r="CB47" i="6"/>
  <c r="BM52" i="11"/>
  <c r="AV52" i="11"/>
  <c r="BG52" i="11"/>
  <c r="AP52" i="11"/>
  <c r="BA52" i="11"/>
  <c r="AS52" i="11"/>
  <c r="AZ52" i="11"/>
  <c r="AF52" i="11"/>
  <c r="DA46" i="6"/>
  <c r="AX46" i="6"/>
  <c r="P29" i="55"/>
  <c r="Z29" i="55"/>
  <c r="T29" i="55"/>
  <c r="I30" i="55"/>
  <c r="M29" i="55"/>
  <c r="V29" i="55"/>
  <c r="G29" i="55"/>
  <c r="N30" i="55"/>
  <c r="W29" i="55"/>
  <c r="Y29" i="55"/>
  <c r="I29" i="55"/>
  <c r="BI48" i="19"/>
  <c r="CD50" i="19"/>
  <c r="BG50" i="19"/>
  <c r="BP47" i="13"/>
  <c r="BM51" i="11"/>
  <c r="BA49" i="19"/>
  <c r="AA50" i="19"/>
  <c r="BM50" i="19"/>
  <c r="CK47" i="13"/>
  <c r="CO51" i="11"/>
  <c r="CH53" i="11"/>
  <c r="AD53" i="11"/>
  <c r="DB53" i="11"/>
  <c r="AT53" i="11"/>
  <c r="X49" i="19"/>
  <c r="Z53" i="11"/>
  <c r="CX53" i="11"/>
  <c r="Q29" i="55"/>
  <c r="K29" i="55"/>
  <c r="CJ48" i="13"/>
  <c r="DA48" i="13"/>
  <c r="BQ48" i="13"/>
  <c r="AG48" i="13"/>
  <c r="CB48" i="13"/>
  <c r="BM48" i="13"/>
  <c r="T48" i="13"/>
  <c r="CS48" i="13"/>
  <c r="AL48" i="13"/>
  <c r="BS48" i="13"/>
  <c r="W48" i="13"/>
  <c r="BT48" i="13"/>
  <c r="CM48" i="13"/>
  <c r="I48" i="13"/>
  <c r="CY48" i="13"/>
  <c r="G48" i="13"/>
  <c r="AA48" i="13"/>
  <c r="BE48" i="13"/>
  <c r="CZ48" i="13"/>
  <c r="BP48" i="13"/>
  <c r="AU48" i="13"/>
  <c r="BU48" i="13"/>
  <c r="Y48" i="13"/>
  <c r="AX48" i="13"/>
  <c r="K48" i="13"/>
  <c r="AW48" i="13"/>
  <c r="BH48" i="13"/>
  <c r="CX48" i="13"/>
  <c r="DB48" i="13"/>
  <c r="AY48" i="13"/>
  <c r="CT48" i="13"/>
  <c r="CW48" i="13"/>
  <c r="AN48" i="13"/>
  <c r="BI48" i="13"/>
  <c r="S48" i="13"/>
  <c r="AQ48" i="13"/>
  <c r="CU46" i="13"/>
  <c r="CD48" i="13"/>
  <c r="CU48" i="13"/>
  <c r="BK48" i="13"/>
  <c r="BV48" i="13"/>
  <c r="BB48" i="13"/>
  <c r="N48" i="13"/>
  <c r="CG48" i="13"/>
  <c r="AE48" i="13"/>
  <c r="BG48" i="13"/>
  <c r="Q48" i="13"/>
  <c r="AZ48" i="13"/>
  <c r="BO48" i="13"/>
  <c r="CL48" i="13"/>
  <c r="CF48" i="13"/>
  <c r="CA48" i="13"/>
  <c r="O48" i="13"/>
  <c r="BX48" i="13"/>
  <c r="CO48" i="13"/>
  <c r="H48" i="13"/>
  <c r="AK48" i="13"/>
  <c r="BN48" i="13"/>
  <c r="BF48" i="13"/>
  <c r="BR48" i="13"/>
  <c r="CI48" i="13"/>
  <c r="BJ48" i="13"/>
  <c r="DC48" i="13"/>
  <c r="AI48" i="13"/>
  <c r="BZ48" i="13"/>
  <c r="AR48" i="13"/>
  <c r="AJ48" i="13"/>
  <c r="BA48" i="13"/>
  <c r="CK48" i="13"/>
  <c r="CN48" i="13"/>
  <c r="CC48" i="13"/>
  <c r="CV48" i="13"/>
  <c r="H30" i="55"/>
  <c r="Q30" i="55"/>
  <c r="AA30" i="55"/>
  <c r="O30" i="55"/>
  <c r="V28" i="55"/>
  <c r="O28" i="55"/>
  <c r="T28" i="55"/>
  <c r="Y28" i="55"/>
  <c r="T30" i="55"/>
  <c r="K30" i="55"/>
  <c r="R30" i="55"/>
  <c r="W28" i="55"/>
  <c r="P28" i="55"/>
  <c r="I28" i="55"/>
  <c r="S28" i="55"/>
  <c r="V30" i="55"/>
  <c r="Q28" i="55"/>
  <c r="J28" i="55"/>
  <c r="L30" i="55"/>
  <c r="AA28" i="55"/>
  <c r="K28" i="55"/>
  <c r="P30" i="55"/>
  <c r="P48" i="13"/>
  <c r="U48" i="13"/>
  <c r="L48" i="13"/>
  <c r="CE48" i="13"/>
  <c r="D94" i="13"/>
  <c r="H28" i="55"/>
  <c r="F14" i="2" s="1"/>
  <c r="M28" i="55"/>
  <c r="U28" i="55"/>
  <c r="Z30" i="55"/>
  <c r="W30" i="55"/>
  <c r="AB48" i="13"/>
  <c r="AH48" i="13"/>
  <c r="X48" i="13"/>
  <c r="CQ48" i="13"/>
  <c r="BJ46" i="13"/>
  <c r="D54" i="15"/>
  <c r="S30" i="55"/>
  <c r="M30" i="55"/>
  <c r="L28" i="55"/>
  <c r="X30" i="55"/>
  <c r="AP48" i="13"/>
  <c r="AV48" i="13"/>
  <c r="CR48" i="13"/>
  <c r="Z48" i="13"/>
  <c r="AM48" i="13"/>
  <c r="K46" i="13"/>
  <c r="G30" i="55"/>
  <c r="N28" i="55"/>
  <c r="U30" i="55"/>
  <c r="R28" i="55"/>
  <c r="AO48" i="13"/>
  <c r="R48" i="13"/>
  <c r="J48" i="13"/>
  <c r="M48" i="13"/>
  <c r="AF48" i="13"/>
  <c r="BD48" i="13"/>
  <c r="AS48" i="13"/>
  <c r="BL48" i="13"/>
  <c r="CK53" i="11"/>
  <c r="AX50" i="19"/>
  <c r="CB50" i="19"/>
  <c r="L50" i="19"/>
  <c r="T51" i="11"/>
  <c r="X51" i="11"/>
  <c r="R53" i="11"/>
  <c r="BQ51" i="11"/>
  <c r="BW53" i="11"/>
  <c r="AB50" i="19"/>
  <c r="R50" i="19"/>
  <c r="CG53" i="11"/>
  <c r="BL53" i="11"/>
  <c r="AA51" i="11"/>
  <c r="AM50" i="19"/>
  <c r="M50" i="19"/>
  <c r="BG51" i="11"/>
  <c r="CA52" i="8"/>
  <c r="AF52" i="8"/>
  <c r="CZ52" i="8"/>
  <c r="BF52" i="8"/>
  <c r="M52" i="8"/>
  <c r="CG52" i="8"/>
  <c r="BJ52" i="8"/>
  <c r="AB52" i="8"/>
  <c r="CV52" i="8"/>
  <c r="AG52" i="8"/>
  <c r="BQ52" i="8"/>
  <c r="DA52" i="8"/>
  <c r="K52" i="8"/>
  <c r="AU52" i="8"/>
  <c r="CE52" i="8"/>
  <c r="AL50" i="8"/>
  <c r="AJ52" i="8"/>
  <c r="BT52" i="8"/>
  <c r="BP50" i="8"/>
  <c r="AJ50" i="8"/>
  <c r="BH50" i="8"/>
  <c r="CJ50" i="8"/>
  <c r="CW50" i="8"/>
  <c r="O50" i="8"/>
  <c r="BS50" i="8"/>
  <c r="AB50" i="8"/>
  <c r="CF50" i="8"/>
  <c r="AO50" i="8"/>
  <c r="CT50" i="8"/>
  <c r="BB50" i="8"/>
  <c r="K50" i="8"/>
  <c r="BU50" i="8"/>
  <c r="AK50" i="8"/>
  <c r="V50" i="19"/>
  <c r="BX50" i="19"/>
  <c r="AY50" i="19"/>
  <c r="H50" i="19"/>
  <c r="I50" i="19"/>
  <c r="CW50" i="19"/>
  <c r="BB50" i="19"/>
  <c r="S50" i="19"/>
  <c r="CI51" i="11"/>
  <c r="BE51" i="11"/>
  <c r="CU51" i="11"/>
  <c r="M51" i="11"/>
  <c r="CR53" i="11"/>
  <c r="BI53" i="11"/>
  <c r="AU51" i="11"/>
  <c r="CV53" i="11"/>
  <c r="BY53" i="11"/>
  <c r="BM53" i="11"/>
  <c r="AZ50" i="19"/>
  <c r="CQ50" i="19"/>
  <c r="AF51" i="11"/>
  <c r="S52" i="8"/>
  <c r="CM52" i="8"/>
  <c r="AR52" i="8"/>
  <c r="W50" i="8"/>
  <c r="BR52" i="8"/>
  <c r="Y52" i="8"/>
  <c r="CS52" i="8"/>
  <c r="BV52" i="8"/>
  <c r="AN52" i="8"/>
  <c r="BN50" i="8"/>
  <c r="AM52" i="8"/>
  <c r="BW52" i="8"/>
  <c r="CQ50" i="8"/>
  <c r="Q52" i="8"/>
  <c r="BA52" i="8"/>
  <c r="CK52" i="8"/>
  <c r="G52" i="8"/>
  <c r="AP52" i="8"/>
  <c r="BZ52" i="8"/>
  <c r="X50" i="8"/>
  <c r="V50" i="8"/>
  <c r="AT50" i="8"/>
  <c r="BV50" i="8"/>
  <c r="CI50" i="8"/>
  <c r="DC50" i="8"/>
  <c r="BL50" i="8"/>
  <c r="U50" i="8"/>
  <c r="BY50" i="8"/>
  <c r="AH50" i="8"/>
  <c r="CL50" i="8"/>
  <c r="AU50" i="8"/>
  <c r="CY50" i="8"/>
  <c r="BO50" i="8"/>
  <c r="AE50" i="8"/>
  <c r="BJ50" i="19"/>
  <c r="AH50" i="19"/>
  <c r="CU50" i="19"/>
  <c r="BD50" i="19"/>
  <c r="BQ50" i="19"/>
  <c r="W50" i="19"/>
  <c r="CF50" i="19"/>
  <c r="AW50" i="19"/>
  <c r="Y51" i="11"/>
  <c r="AV51" i="11"/>
  <c r="AM51" i="11"/>
  <c r="CR51" i="11"/>
  <c r="BF51" i="11"/>
  <c r="H53" i="11"/>
  <c r="BX53" i="11"/>
  <c r="J51" i="11"/>
  <c r="AY51" i="11"/>
  <c r="BQ53" i="11"/>
  <c r="AV50" i="19"/>
  <c r="BO51" i="11"/>
  <c r="CS53" i="11"/>
  <c r="CB53" i="11"/>
  <c r="AX53" i="11"/>
  <c r="J53" i="11"/>
  <c r="BA53" i="11"/>
  <c r="D99" i="11"/>
  <c r="BD102" i="11" s="1"/>
  <c r="AB53" i="11"/>
  <c r="AE52" i="8"/>
  <c r="CY52" i="8"/>
  <c r="BD52" i="8"/>
  <c r="J52" i="8"/>
  <c r="CD52" i="8"/>
  <c r="AK52" i="8"/>
  <c r="N52" i="8"/>
  <c r="CH52" i="8"/>
  <c r="AZ52" i="8"/>
  <c r="I52" i="8"/>
  <c r="AS52" i="8"/>
  <c r="CC52" i="8"/>
  <c r="AZ50" i="8"/>
  <c r="W52" i="8"/>
  <c r="BG52" i="8"/>
  <c r="CQ52" i="8"/>
  <c r="L52" i="8"/>
  <c r="AV52" i="8"/>
  <c r="CF52" i="8"/>
  <c r="CP50" i="8"/>
  <c r="H50" i="8"/>
  <c r="AF50" i="8"/>
  <c r="BG50" i="8"/>
  <c r="BT50" i="8"/>
  <c r="CV50" i="8"/>
  <c r="BE50" i="8"/>
  <c r="N50" i="8"/>
  <c r="BR50" i="8"/>
  <c r="AA50" i="8"/>
  <c r="CE50" i="8"/>
  <c r="AN50" i="8"/>
  <c r="CS50" i="8"/>
  <c r="BI50" i="8"/>
  <c r="CH50" i="19"/>
  <c r="Z50" i="19"/>
  <c r="BF50" i="19"/>
  <c r="D96" i="19"/>
  <c r="BP50" i="19"/>
  <c r="CC50" i="19"/>
  <c r="AC50" i="19"/>
  <c r="CL50" i="19"/>
  <c r="BC50" i="19"/>
  <c r="AQ51" i="11"/>
  <c r="AC51" i="11"/>
  <c r="CC51" i="11"/>
  <c r="BT53" i="11"/>
  <c r="G53" i="11"/>
  <c r="R51" i="11"/>
  <c r="BC53" i="11"/>
  <c r="K53" i="11"/>
  <c r="BK53" i="11"/>
  <c r="CU53" i="11"/>
  <c r="CK51" i="11"/>
  <c r="P50" i="19"/>
  <c r="AT50" i="19"/>
  <c r="BV50" i="19"/>
  <c r="CV50" i="19"/>
  <c r="DB50" i="19"/>
  <c r="BK50" i="19"/>
  <c r="T50" i="19"/>
  <c r="CN50" i="19"/>
  <c r="U50" i="19"/>
  <c r="CO50" i="19"/>
  <c r="AI50" i="19"/>
  <c r="BS50" i="19"/>
  <c r="DC50" i="19"/>
  <c r="X50" i="19"/>
  <c r="BH50" i="19"/>
  <c r="CR50" i="19"/>
  <c r="Y50" i="19"/>
  <c r="BI50" i="19"/>
  <c r="CS50" i="19"/>
  <c r="V51" i="11"/>
  <c r="BP51" i="11"/>
  <c r="AX51" i="11"/>
  <c r="AH51" i="11"/>
  <c r="AD51" i="11"/>
  <c r="BW51" i="11"/>
  <c r="CM51" i="11"/>
  <c r="BS51" i="11"/>
  <c r="CF51" i="11"/>
  <c r="AO51" i="11"/>
  <c r="DA51" i="11"/>
  <c r="CG51" i="11"/>
  <c r="CV51" i="11"/>
  <c r="AE53" i="11"/>
  <c r="AN53" i="11"/>
  <c r="T53" i="11"/>
  <c r="CT53" i="11"/>
  <c r="L53" i="11"/>
  <c r="CJ53" i="11"/>
  <c r="BB53" i="11"/>
  <c r="BJ53" i="11"/>
  <c r="BC51" i="11"/>
  <c r="S51" i="11"/>
  <c r="AK53" i="11"/>
  <c r="Q53" i="11"/>
  <c r="CP51" i="11"/>
  <c r="AM53" i="11"/>
  <c r="AO53" i="11"/>
  <c r="BU53" i="11"/>
  <c r="BV51" i="11"/>
  <c r="CQ53" i="11"/>
  <c r="H51" i="11"/>
  <c r="CI53" i="11"/>
  <c r="N50" i="19"/>
  <c r="AN50" i="19"/>
  <c r="BR50" i="19"/>
  <c r="CT50" i="19"/>
  <c r="BW50" i="19"/>
  <c r="AF50" i="19"/>
  <c r="CZ50" i="19"/>
  <c r="AG50" i="19"/>
  <c r="DA50" i="19"/>
  <c r="AO50" i="19"/>
  <c r="BY50" i="19"/>
  <c r="AD50" i="19"/>
  <c r="BN50" i="19"/>
  <c r="CX50" i="19"/>
  <c r="AE50" i="19"/>
  <c r="BO50" i="19"/>
  <c r="CY50" i="19"/>
  <c r="AX48" i="19"/>
  <c r="BN51" i="11"/>
  <c r="DB51" i="11"/>
  <c r="BL51" i="11"/>
  <c r="P51" i="11"/>
  <c r="BU51" i="11"/>
  <c r="L51" i="11"/>
  <c r="CY51" i="11"/>
  <c r="AK51" i="11"/>
  <c r="BJ51" i="11"/>
  <c r="BY51" i="11"/>
  <c r="AT51" i="11"/>
  <c r="BX51" i="11"/>
  <c r="AW51" i="11"/>
  <c r="AB51" i="11"/>
  <c r="AQ53" i="11"/>
  <c r="CA53" i="11"/>
  <c r="AF53" i="11"/>
  <c r="N53" i="11"/>
  <c r="V53" i="11"/>
  <c r="CY53" i="11"/>
  <c r="BP53" i="11"/>
  <c r="BZ53" i="11"/>
  <c r="CL51" i="11"/>
  <c r="Q51" i="11"/>
  <c r="O51" i="11"/>
  <c r="CC53" i="11"/>
  <c r="CX51" i="11"/>
  <c r="AJ51" i="11"/>
  <c r="DA53" i="11"/>
  <c r="AL51" i="11"/>
  <c r="CW53" i="11"/>
  <c r="W53" i="11"/>
  <c r="BG53" i="11"/>
  <c r="AA53" i="11"/>
  <c r="AL50" i="19"/>
  <c r="BL50" i="19"/>
  <c r="CP50" i="19"/>
  <c r="J50" i="19"/>
  <c r="O50" i="19"/>
  <c r="CI50" i="19"/>
  <c r="AR50" i="19"/>
  <c r="AS50" i="19"/>
  <c r="K50" i="19"/>
  <c r="AU50" i="19"/>
  <c r="CE50" i="19"/>
  <c r="AJ50" i="19"/>
  <c r="BT50" i="19"/>
  <c r="AB48" i="19"/>
  <c r="AK50" i="19"/>
  <c r="BU50" i="19"/>
  <c r="CZ51" i="11"/>
  <c r="CE51" i="11"/>
  <c r="CD51" i="11"/>
  <c r="I51" i="11"/>
  <c r="CQ51" i="11"/>
  <c r="CB51" i="11"/>
  <c r="AI51" i="11"/>
  <c r="AR51" i="11"/>
  <c r="CJ51" i="11"/>
  <c r="BK51" i="11"/>
  <c r="U51" i="11"/>
  <c r="CN51" i="11"/>
  <c r="BF53" i="11"/>
  <c r="P53" i="11"/>
  <c r="AR53" i="11"/>
  <c r="AZ53" i="11"/>
  <c r="AH53" i="11"/>
  <c r="Y53" i="11"/>
  <c r="M53" i="11"/>
  <c r="CL53" i="11"/>
  <c r="BA51" i="11"/>
  <c r="CN53" i="11"/>
  <c r="BD53" i="11"/>
  <c r="BI51" i="11"/>
  <c r="AS53" i="11"/>
  <c r="CE53" i="11"/>
  <c r="S53" i="11"/>
  <c r="AG53" i="11"/>
  <c r="DC53" i="11"/>
  <c r="AC53" i="11"/>
  <c r="AY53" i="11"/>
  <c r="O53" i="11"/>
  <c r="BS53" i="11"/>
  <c r="BE50" i="19"/>
  <c r="Q50" i="19"/>
  <c r="BA50" i="19"/>
  <c r="CK50" i="19"/>
  <c r="G50" i="19"/>
  <c r="AP50" i="19"/>
  <c r="BZ50" i="19"/>
  <c r="AQ50" i="19"/>
  <c r="CA50" i="19"/>
  <c r="BV48" i="19"/>
  <c r="CA51" i="11"/>
  <c r="AS51" i="11"/>
  <c r="BD51" i="11"/>
  <c r="Z51" i="11"/>
  <c r="AZ51" i="11"/>
  <c r="BR51" i="11"/>
  <c r="BH51" i="11"/>
  <c r="DC51" i="11"/>
  <c r="CH51" i="11"/>
  <c r="AN51" i="11"/>
  <c r="BZ51" i="11"/>
  <c r="CS51" i="11"/>
  <c r="BR53" i="11"/>
  <c r="AP53" i="11"/>
  <c r="BH53" i="11"/>
  <c r="BO53" i="11"/>
  <c r="AW53" i="11"/>
  <c r="CP53" i="11"/>
  <c r="X53" i="11"/>
  <c r="CZ53" i="11"/>
  <c r="CT51" i="11"/>
  <c r="AL53" i="11"/>
  <c r="AV53" i="11"/>
  <c r="CW51" i="11"/>
  <c r="I53" i="11"/>
  <c r="AU53" i="11"/>
  <c r="AE51" i="11"/>
  <c r="CM53" i="11"/>
  <c r="AI53" i="11"/>
  <c r="BE53" i="11"/>
  <c r="K51" i="11"/>
  <c r="CF53" i="11"/>
  <c r="BV53" i="11"/>
  <c r="N51" i="11"/>
  <c r="BB51" i="11"/>
  <c r="U53" i="11"/>
  <c r="AP51" i="11"/>
  <c r="CD53" i="11"/>
  <c r="M20" i="27"/>
  <c r="F26" i="27" s="1"/>
  <c r="X11" i="5"/>
  <c r="X24" i="7"/>
  <c r="X14" i="41"/>
  <c r="X21" i="14"/>
  <c r="X14" i="16"/>
  <c r="X11" i="42"/>
  <c r="X17" i="5"/>
  <c r="X7" i="10"/>
  <c r="X20" i="41"/>
  <c r="X19" i="16"/>
  <c r="X16" i="42"/>
  <c r="K12" i="3"/>
  <c r="X7" i="56"/>
  <c r="X23" i="5"/>
  <c r="X13" i="10"/>
  <c r="X26" i="41"/>
  <c r="X20" i="16"/>
  <c r="X17" i="42"/>
  <c r="X14" i="56"/>
  <c r="X6" i="7"/>
  <c r="X19" i="10"/>
  <c r="X9" i="14"/>
  <c r="X7" i="16"/>
  <c r="X25" i="16"/>
  <c r="X22" i="42"/>
  <c r="X18" i="7"/>
  <c r="X13" i="16"/>
  <c r="X10" i="42"/>
  <c r="X20" i="56"/>
  <c r="X12" i="7"/>
  <c r="X25" i="10"/>
  <c r="X15" i="14"/>
  <c r="X8" i="16"/>
  <c r="X26" i="16"/>
  <c r="X23" i="42"/>
  <c r="K13" i="3"/>
  <c r="X26" i="56"/>
  <c r="X8" i="41"/>
  <c r="X20" i="14"/>
  <c r="X12" i="5"/>
  <c r="X25" i="7"/>
  <c r="X15" i="41"/>
  <c r="X15" i="16"/>
  <c r="C32" i="39"/>
  <c r="C38" i="39" s="1"/>
  <c r="X7" i="5"/>
  <c r="X20" i="7"/>
  <c r="X16" i="41"/>
  <c r="X16" i="16"/>
  <c r="C6" i="3"/>
  <c r="X23" i="56"/>
  <c r="X15" i="7"/>
  <c r="X17" i="41"/>
  <c r="X11" i="16"/>
  <c r="X26" i="42"/>
  <c r="X23" i="7"/>
  <c r="E9" i="3"/>
  <c r="X21" i="5"/>
  <c r="X23" i="10"/>
  <c r="X13" i="14"/>
  <c r="X9" i="42"/>
  <c r="X16" i="5"/>
  <c r="X8" i="14"/>
  <c r="X18" i="5"/>
  <c r="X8" i="10"/>
  <c r="X21" i="41"/>
  <c r="X21" i="16"/>
  <c r="F17" i="43"/>
  <c r="X13" i="5"/>
  <c r="X26" i="7"/>
  <c r="X22" i="41"/>
  <c r="X22" i="16"/>
  <c r="E13" i="3"/>
  <c r="X8" i="5"/>
  <c r="X21" i="7"/>
  <c r="X23" i="41"/>
  <c r="X17" i="16"/>
  <c r="X13" i="56"/>
  <c r="X12" i="10"/>
  <c r="X12" i="56"/>
  <c r="X10" i="7"/>
  <c r="X6" i="41"/>
  <c r="X19" i="14"/>
  <c r="X15" i="42"/>
  <c r="X17" i="7"/>
  <c r="X26" i="14"/>
  <c r="X9" i="56"/>
  <c r="X24" i="5"/>
  <c r="X14" i="10"/>
  <c r="X10" i="14"/>
  <c r="X6" i="42"/>
  <c r="E12" i="3"/>
  <c r="X19" i="5"/>
  <c r="X9" i="10"/>
  <c r="X11" i="14"/>
  <c r="X7" i="42"/>
  <c r="X14" i="5"/>
  <c r="X10" i="10"/>
  <c r="X6" i="14"/>
  <c r="X23" i="16"/>
  <c r="X25" i="56"/>
  <c r="X24" i="10"/>
  <c r="X18" i="56"/>
  <c r="X16" i="7"/>
  <c r="X12" i="41"/>
  <c r="X25" i="14"/>
  <c r="X21" i="42"/>
  <c r="X6" i="10"/>
  <c r="X15" i="56"/>
  <c r="X7" i="7"/>
  <c r="X20" i="10"/>
  <c r="X16" i="14"/>
  <c r="X12" i="42"/>
  <c r="X10" i="56"/>
  <c r="X25" i="5"/>
  <c r="X15" i="10"/>
  <c r="X17" i="14"/>
  <c r="X13" i="42"/>
  <c r="X20" i="5"/>
  <c r="X16" i="10"/>
  <c r="X12" i="14"/>
  <c r="X8" i="42"/>
  <c r="X10" i="5"/>
  <c r="X13" i="41"/>
  <c r="X24" i="56"/>
  <c r="X22" i="7"/>
  <c r="X18" i="41"/>
  <c r="X12" i="16"/>
  <c r="D10" i="39"/>
  <c r="D21" i="39" s="1"/>
  <c r="X18" i="10"/>
  <c r="X7" i="41"/>
  <c r="X21" i="56"/>
  <c r="X13" i="7"/>
  <c r="X26" i="10"/>
  <c r="X22" i="14"/>
  <c r="X18" i="42"/>
  <c r="X16" i="56"/>
  <c r="X8" i="7"/>
  <c r="X21" i="10"/>
  <c r="X23" i="14"/>
  <c r="X19" i="42"/>
  <c r="X26" i="5"/>
  <c r="X22" i="10"/>
  <c r="X18" i="14"/>
  <c r="X14" i="42"/>
  <c r="X22" i="5"/>
  <c r="X25" i="41"/>
  <c r="X9" i="5"/>
  <c r="X11" i="10"/>
  <c r="X24" i="41"/>
  <c r="X18" i="16"/>
  <c r="K14" i="3"/>
  <c r="X6" i="5"/>
  <c r="X19" i="7"/>
  <c r="X9" i="41"/>
  <c r="X9" i="16"/>
  <c r="X24" i="42"/>
  <c r="X22" i="56"/>
  <c r="X14" i="7"/>
  <c r="X10" i="41"/>
  <c r="X10" i="16"/>
  <c r="X25" i="42"/>
  <c r="X17" i="56"/>
  <c r="X9" i="7"/>
  <c r="X11" i="41"/>
  <c r="X24" i="14"/>
  <c r="X20" i="42"/>
  <c r="X11" i="7"/>
  <c r="X14" i="14"/>
  <c r="X15" i="5"/>
  <c r="X17" i="10"/>
  <c r="X7" i="14"/>
  <c r="X24" i="16"/>
  <c r="X19" i="56"/>
  <c r="X19" i="41"/>
  <c r="F24" i="27"/>
  <c r="H91" i="6"/>
  <c r="N91" i="6"/>
  <c r="T91" i="6"/>
  <c r="Z91" i="6"/>
  <c r="AF91" i="6"/>
  <c r="AL91" i="6"/>
  <c r="AR91" i="6"/>
  <c r="AX91" i="6"/>
  <c r="BD91" i="6"/>
  <c r="I91" i="6"/>
  <c r="O91" i="6"/>
  <c r="U91" i="6"/>
  <c r="AA91" i="6"/>
  <c r="AG91" i="6"/>
  <c r="AM91" i="6"/>
  <c r="AS91" i="6"/>
  <c r="AY91" i="6"/>
  <c r="DC91" i="6"/>
  <c r="L91" i="6"/>
  <c r="V91" i="6"/>
  <c r="AD91" i="6"/>
  <c r="AN91" i="6"/>
  <c r="AV91" i="6"/>
  <c r="M91" i="6"/>
  <c r="W91" i="6"/>
  <c r="AE91" i="6"/>
  <c r="AO91" i="6"/>
  <c r="AW91" i="6"/>
  <c r="P91" i="6"/>
  <c r="X91" i="6"/>
  <c r="AH91" i="6"/>
  <c r="AP91" i="6"/>
  <c r="AZ91" i="6"/>
  <c r="Q91" i="6"/>
  <c r="Y91" i="6"/>
  <c r="AI91" i="6"/>
  <c r="AQ91" i="6"/>
  <c r="BA91" i="6"/>
  <c r="J91" i="6"/>
  <c r="R91" i="6"/>
  <c r="AB91" i="6"/>
  <c r="AJ91" i="6"/>
  <c r="AT91" i="6"/>
  <c r="BB91" i="6"/>
  <c r="BC91" i="6"/>
  <c r="K91" i="6"/>
  <c r="S91" i="6"/>
  <c r="AC91" i="6"/>
  <c r="AK91" i="6"/>
  <c r="AU91" i="6"/>
  <c r="D14" i="2"/>
  <c r="D15" i="2" s="1"/>
  <c r="L39" i="29" s="1"/>
  <c r="K9" i="43"/>
  <c r="G30" i="3"/>
  <c r="E32" i="3"/>
  <c r="F30" i="3" s="1"/>
  <c r="G31" i="31"/>
  <c r="Q16" i="31"/>
  <c r="Q31" i="31" l="1"/>
  <c r="D30" i="3"/>
  <c r="D25" i="3"/>
  <c r="D27" i="3"/>
  <c r="D31" i="3"/>
  <c r="D24" i="3"/>
  <c r="D28" i="3"/>
  <c r="D26" i="3"/>
  <c r="D29" i="3"/>
  <c r="K55" i="56"/>
  <c r="CQ46" i="13"/>
  <c r="BG49" i="19"/>
  <c r="G26" i="15"/>
  <c r="F11" i="2" s="1"/>
  <c r="H10" i="43" s="1"/>
  <c r="BZ46" i="13"/>
  <c r="BF47" i="13"/>
  <c r="BP49" i="19"/>
  <c r="H101" i="8"/>
  <c r="AR48" i="19"/>
  <c r="CO48" i="19"/>
  <c r="AV46" i="13"/>
  <c r="CL47" i="13"/>
  <c r="AL49" i="19"/>
  <c r="DC101" i="8"/>
  <c r="AB102" i="11"/>
  <c r="AN48" i="19"/>
  <c r="AJ48" i="19"/>
  <c r="G57" i="15"/>
  <c r="F34" i="2" s="1"/>
  <c r="J34" i="2" s="1"/>
  <c r="V84" i="14" s="1"/>
  <c r="CO46" i="13"/>
  <c r="CR47" i="13"/>
  <c r="Q101" i="8"/>
  <c r="R101" i="8"/>
  <c r="Z101" i="8"/>
  <c r="AN49" i="19"/>
  <c r="AF49" i="19"/>
  <c r="AU49" i="19"/>
  <c r="AQ49" i="19"/>
  <c r="BW49" i="19"/>
  <c r="CG49" i="19"/>
  <c r="CP48" i="19"/>
  <c r="T49" i="19"/>
  <c r="CS49" i="19"/>
  <c r="AT48" i="19"/>
  <c r="AM49" i="19"/>
  <c r="BV49" i="19"/>
  <c r="AP48" i="19"/>
  <c r="CT49" i="19"/>
  <c r="AE49" i="19"/>
  <c r="CH49" i="19"/>
  <c r="DA48" i="19"/>
  <c r="CD49" i="19"/>
  <c r="CN49" i="19"/>
  <c r="H49" i="19"/>
  <c r="AZ49" i="19"/>
  <c r="J49" i="19"/>
  <c r="CE49" i="19"/>
  <c r="BH49" i="19"/>
  <c r="BE49" i="19"/>
  <c r="AT49" i="19"/>
  <c r="BM49" i="19"/>
  <c r="Y49" i="19"/>
  <c r="CU49" i="19"/>
  <c r="L49" i="19"/>
  <c r="AI49" i="19"/>
  <c r="DA49" i="19"/>
  <c r="BP48" i="19"/>
  <c r="BK48" i="19"/>
  <c r="BL48" i="19"/>
  <c r="D98" i="19"/>
  <c r="I99" i="19" s="1"/>
  <c r="CW49" i="19"/>
  <c r="AW49" i="19"/>
  <c r="BJ49" i="19"/>
  <c r="CJ49" i="19"/>
  <c r="R48" i="19"/>
  <c r="K49" i="19"/>
  <c r="Q49" i="19"/>
  <c r="CO49" i="19"/>
  <c r="BU49" i="19"/>
  <c r="CE48" i="19"/>
  <c r="BD49" i="19"/>
  <c r="CA49" i="19"/>
  <c r="AB49" i="19"/>
  <c r="BN49" i="19"/>
  <c r="CK49" i="19"/>
  <c r="AH49" i="19"/>
  <c r="BS48" i="19"/>
  <c r="Z48" i="19"/>
  <c r="L48" i="19"/>
  <c r="BZ48" i="19"/>
  <c r="AU48" i="19"/>
  <c r="U48" i="19"/>
  <c r="AY48" i="19"/>
  <c r="M48" i="19"/>
  <c r="CC48" i="19"/>
  <c r="AQ48" i="19"/>
  <c r="CK48" i="19"/>
  <c r="H48" i="19"/>
  <c r="O48" i="19"/>
  <c r="CL48" i="19"/>
  <c r="AO49" i="19"/>
  <c r="CY49" i="19"/>
  <c r="O49" i="19"/>
  <c r="AD49" i="19"/>
  <c r="AV49" i="19"/>
  <c r="BS49" i="19"/>
  <c r="V49" i="19"/>
  <c r="CF49" i="19"/>
  <c r="BX48" i="19"/>
  <c r="M49" i="19"/>
  <c r="Z49" i="19"/>
  <c r="BL49" i="19"/>
  <c r="W49" i="19"/>
  <c r="DB49" i="19"/>
  <c r="CR49" i="19"/>
  <c r="AC49" i="19"/>
  <c r="AX49" i="19"/>
  <c r="AY49" i="19"/>
  <c r="CQ49" i="19"/>
  <c r="CX49" i="19"/>
  <c r="R49" i="19"/>
  <c r="BF49" i="19"/>
  <c r="AP49" i="19"/>
  <c r="AV48" i="19"/>
  <c r="BO49" i="19"/>
  <c r="CB49" i="19"/>
  <c r="CV49" i="19"/>
  <c r="BY49" i="19"/>
  <c r="CL49" i="19"/>
  <c r="BJ48" i="19"/>
  <c r="CS48" i="19"/>
  <c r="BG48" i="19"/>
  <c r="J101" i="8"/>
  <c r="CI48" i="19"/>
  <c r="AD48" i="19"/>
  <c r="T101" i="8"/>
  <c r="W101" i="8"/>
  <c r="I101" i="8"/>
  <c r="AE48" i="19"/>
  <c r="BR48" i="19"/>
  <c r="BH48" i="19"/>
  <c r="AA48" i="19"/>
  <c r="BQ48" i="19"/>
  <c r="BN48" i="19"/>
  <c r="AM48" i="19"/>
  <c r="I48" i="19"/>
  <c r="AW48" i="19"/>
  <c r="AO48" i="19"/>
  <c r="BA48" i="19"/>
  <c r="BM48" i="19"/>
  <c r="BF48" i="19"/>
  <c r="CA46" i="13"/>
  <c r="AZ46" i="13"/>
  <c r="Q46" i="13"/>
  <c r="BG46" i="13"/>
  <c r="BR46" i="13"/>
  <c r="CC46" i="13"/>
  <c r="AU46" i="13"/>
  <c r="AC46" i="13"/>
  <c r="CZ46" i="13"/>
  <c r="CD46" i="13"/>
  <c r="BN47" i="13"/>
  <c r="BQ49" i="19"/>
  <c r="BG47" i="13"/>
  <c r="AK49" i="19"/>
  <c r="CP49" i="19"/>
  <c r="BC48" i="19"/>
  <c r="AN47" i="13"/>
  <c r="P49" i="19"/>
  <c r="AR49" i="19"/>
  <c r="BB48" i="19"/>
  <c r="BE48" i="19"/>
  <c r="CB48" i="19"/>
  <c r="K48" i="19"/>
  <c r="AW46" i="13"/>
  <c r="BE46" i="13"/>
  <c r="CM49" i="19"/>
  <c r="N49" i="19"/>
  <c r="AQ46" i="13"/>
  <c r="BC49" i="19"/>
  <c r="Y101" i="8"/>
  <c r="CD48" i="19"/>
  <c r="CH48" i="19"/>
  <c r="BT48" i="19"/>
  <c r="BR49" i="19"/>
  <c r="N47" i="13"/>
  <c r="U101" i="8"/>
  <c r="BO48" i="19"/>
  <c r="BY48" i="19"/>
  <c r="CR48" i="19"/>
  <c r="CU48" i="19"/>
  <c r="DB48" i="19"/>
  <c r="CX48" i="19"/>
  <c r="CQ48" i="19"/>
  <c r="CG48" i="19"/>
  <c r="BW48" i="19"/>
  <c r="AF48" i="19"/>
  <c r="AG48" i="19"/>
  <c r="AS48" i="19"/>
  <c r="BN46" i="13"/>
  <c r="CS46" i="13"/>
  <c r="DB46" i="13"/>
  <c r="BW46" i="13"/>
  <c r="AD46" i="13"/>
  <c r="H46" i="13"/>
  <c r="BF46" i="13"/>
  <c r="CT46" i="13"/>
  <c r="R46" i="13"/>
  <c r="AX46" i="13"/>
  <c r="L47" i="13"/>
  <c r="AG49" i="19"/>
  <c r="AE47" i="13"/>
  <c r="M46" i="13"/>
  <c r="AM47" i="13"/>
  <c r="U49" i="19"/>
  <c r="DA47" i="13"/>
  <c r="CI49" i="19"/>
  <c r="BX49" i="19"/>
  <c r="V101" i="8"/>
  <c r="L101" i="8"/>
  <c r="S101" i="8"/>
  <c r="O99" i="19"/>
  <c r="CY48" i="19"/>
  <c r="P48" i="19"/>
  <c r="AK48" i="19"/>
  <c r="Q48" i="19"/>
  <c r="CA48" i="19"/>
  <c r="AC48" i="19"/>
  <c r="V48" i="19"/>
  <c r="T48" i="19"/>
  <c r="AZ48" i="19"/>
  <c r="CM48" i="19"/>
  <c r="CF48" i="19"/>
  <c r="O46" i="13"/>
  <c r="BU46" i="13"/>
  <c r="CL46" i="13"/>
  <c r="W46" i="13"/>
  <c r="CX46" i="13"/>
  <c r="AB46" i="13"/>
  <c r="L46" i="13"/>
  <c r="BB46" i="13"/>
  <c r="DC46" i="13"/>
  <c r="CT47" i="13"/>
  <c r="AJ49" i="19"/>
  <c r="CC47" i="13"/>
  <c r="BK49" i="19"/>
  <c r="AS49" i="19"/>
  <c r="CX47" i="13"/>
  <c r="BT49" i="19"/>
  <c r="BI49" i="19"/>
  <c r="CC49" i="19"/>
  <c r="S49" i="19"/>
  <c r="CP47" i="13"/>
  <c r="AB47" i="13"/>
  <c r="U47" i="13"/>
  <c r="BM47" i="13"/>
  <c r="D96" i="13"/>
  <c r="Z97" i="13" s="1"/>
  <c r="AX47" i="13"/>
  <c r="CG47" i="13"/>
  <c r="BB47" i="13"/>
  <c r="AA47" i="13"/>
  <c r="DB47" i="13"/>
  <c r="CU47" i="13"/>
  <c r="CF47" i="13"/>
  <c r="S47" i="13"/>
  <c r="BS47" i="13"/>
  <c r="G47" i="13"/>
  <c r="BR47" i="13"/>
  <c r="AD47" i="13"/>
  <c r="BJ47" i="13"/>
  <c r="Q47" i="13"/>
  <c r="BE47" i="13"/>
  <c r="CQ47" i="13"/>
  <c r="BH47" i="13"/>
  <c r="CV47" i="13"/>
  <c r="CO47" i="13"/>
  <c r="BV47" i="13"/>
  <c r="K47" i="13"/>
  <c r="BI47" i="13"/>
  <c r="BO47" i="13"/>
  <c r="BK47" i="13"/>
  <c r="M47" i="13"/>
  <c r="BL47" i="13"/>
  <c r="T47" i="13"/>
  <c r="CZ47" i="13"/>
  <c r="AH47" i="13"/>
  <c r="BU47" i="13"/>
  <c r="H47" i="13"/>
  <c r="AO47" i="13"/>
  <c r="CI46" i="13"/>
  <c r="Y47" i="13"/>
  <c r="AL47" i="13"/>
  <c r="BX47" i="13"/>
  <c r="CY47" i="13"/>
  <c r="CB47" i="13"/>
  <c r="BW47" i="13"/>
  <c r="AF47" i="13"/>
  <c r="AU47" i="13"/>
  <c r="P47" i="13"/>
  <c r="DC47" i="13"/>
  <c r="O47" i="13"/>
  <c r="AH46" i="13"/>
  <c r="CP46" i="13"/>
  <c r="BM46" i="13"/>
  <c r="BH46" i="13"/>
  <c r="CG46" i="13"/>
  <c r="BV46" i="13"/>
  <c r="AA46" i="13"/>
  <c r="BS46" i="13"/>
  <c r="AN46" i="13"/>
  <c r="AT46" i="13"/>
  <c r="AK46" i="13"/>
  <c r="AI46" i="13"/>
  <c r="BC46" i="13"/>
  <c r="AR46" i="13"/>
  <c r="BA46" i="13"/>
  <c r="AL46" i="13"/>
  <c r="AF46" i="13"/>
  <c r="BD46" i="13"/>
  <c r="S46" i="13"/>
  <c r="CA47" i="13"/>
  <c r="CN47" i="13"/>
  <c r="X47" i="13"/>
  <c r="AK47" i="13"/>
  <c r="J47" i="13"/>
  <c r="CH47" i="13"/>
  <c r="CW47" i="13"/>
  <c r="AZ47" i="13"/>
  <c r="AR47" i="13"/>
  <c r="AY47" i="13"/>
  <c r="BY46" i="13"/>
  <c r="BO46" i="13"/>
  <c r="CJ46" i="13"/>
  <c r="AG46" i="13"/>
  <c r="CR46" i="13"/>
  <c r="BT46" i="13"/>
  <c r="BK46" i="13"/>
  <c r="N46" i="13"/>
  <c r="BI46" i="13"/>
  <c r="J46" i="13"/>
  <c r="CB46" i="13"/>
  <c r="AP46" i="13"/>
  <c r="CV46" i="13"/>
  <c r="CN46" i="13"/>
  <c r="Z46" i="13"/>
  <c r="I46" i="13"/>
  <c r="W47" i="13"/>
  <c r="R47" i="13"/>
  <c r="AG47" i="13"/>
  <c r="BZ47" i="13"/>
  <c r="CM47" i="13"/>
  <c r="AT47" i="13"/>
  <c r="AQ47" i="13"/>
  <c r="BD47" i="13"/>
  <c r="CJ47" i="13"/>
  <c r="AW47" i="13"/>
  <c r="BT47" i="13"/>
  <c r="BQ47" i="13"/>
  <c r="AI47" i="13"/>
  <c r="AV47" i="13"/>
  <c r="CD47" i="13"/>
  <c r="CS47" i="13"/>
  <c r="I47" i="13"/>
  <c r="AP47" i="13"/>
  <c r="BC47" i="13"/>
  <c r="V47" i="13"/>
  <c r="U46" i="13"/>
  <c r="BL46" i="13"/>
  <c r="Y46" i="13"/>
  <c r="AE46" i="13"/>
  <c r="BX46" i="13"/>
  <c r="CM46" i="13"/>
  <c r="AM46" i="13"/>
  <c r="BP46" i="13"/>
  <c r="AO46" i="13"/>
  <c r="CW46" i="13"/>
  <c r="P46" i="13"/>
  <c r="X46" i="13"/>
  <c r="AJ46" i="13"/>
  <c r="CY46" i="13"/>
  <c r="AY46" i="13"/>
  <c r="CK46" i="13"/>
  <c r="AS46" i="13"/>
  <c r="K101" i="8"/>
  <c r="X48" i="19"/>
  <c r="CV48" i="19"/>
  <c r="Y48" i="19"/>
  <c r="CE46" i="13"/>
  <c r="BQ46" i="13"/>
  <c r="DA46" i="13"/>
  <c r="CI47" i="13"/>
  <c r="AJ47" i="13"/>
  <c r="BY47" i="13"/>
  <c r="G46" i="6"/>
  <c r="F7" i="2" s="1"/>
  <c r="D10" i="43" s="1"/>
  <c r="X101" i="8"/>
  <c r="N101" i="8"/>
  <c r="P101" i="8"/>
  <c r="O101" i="8"/>
  <c r="AL48" i="19"/>
  <c r="CJ48" i="19"/>
  <c r="BU48" i="19"/>
  <c r="DC48" i="19"/>
  <c r="W48" i="19"/>
  <c r="N48" i="19"/>
  <c r="CW48" i="19"/>
  <c r="BD48" i="19"/>
  <c r="CT48" i="19"/>
  <c r="AI48" i="19"/>
  <c r="CZ48" i="19"/>
  <c r="J48" i="19"/>
  <c r="S48" i="19"/>
  <c r="CH46" i="13"/>
  <c r="P97" i="13"/>
  <c r="N97" i="13"/>
  <c r="CF46" i="13"/>
  <c r="V46" i="13"/>
  <c r="T46" i="13"/>
  <c r="BA47" i="13"/>
  <c r="BZ49" i="19"/>
  <c r="AS47" i="13"/>
  <c r="AA49" i="19"/>
  <c r="DC49" i="19"/>
  <c r="Z47" i="13"/>
  <c r="G49" i="19"/>
  <c r="I49" i="19"/>
  <c r="AC47" i="13"/>
  <c r="CZ49" i="19"/>
  <c r="BB49" i="19"/>
  <c r="AH48" i="19"/>
  <c r="H102" i="11"/>
  <c r="AZ102" i="11"/>
  <c r="BB102" i="11"/>
  <c r="DC102" i="11"/>
  <c r="J102" i="11"/>
  <c r="R99" i="19"/>
  <c r="L99" i="19"/>
  <c r="AF102" i="11"/>
  <c r="J11" i="2"/>
  <c r="V29" i="14" s="1"/>
  <c r="W102" i="11"/>
  <c r="J99" i="19"/>
  <c r="DC99" i="19"/>
  <c r="G50" i="8"/>
  <c r="F8" i="2" s="1"/>
  <c r="E10" i="43" s="1"/>
  <c r="T102" i="11"/>
  <c r="AI102" i="11"/>
  <c r="AX102" i="11"/>
  <c r="L102" i="11"/>
  <c r="I102" i="11"/>
  <c r="AP102" i="11"/>
  <c r="Y97" i="13"/>
  <c r="BC102" i="11"/>
  <c r="AV102" i="11"/>
  <c r="Y102" i="11"/>
  <c r="AD102" i="11"/>
  <c r="AO102" i="11"/>
  <c r="R97" i="13"/>
  <c r="G28" i="55"/>
  <c r="K10" i="43" s="1"/>
  <c r="F25" i="27"/>
  <c r="D21" i="17" s="1"/>
  <c r="U23" i="17" s="1"/>
  <c r="N102" i="11"/>
  <c r="AG102" i="11"/>
  <c r="AJ102" i="11"/>
  <c r="AL102" i="11"/>
  <c r="AK102" i="11"/>
  <c r="O102" i="11"/>
  <c r="AA102" i="11"/>
  <c r="S102" i="11"/>
  <c r="AE102" i="11"/>
  <c r="Z102" i="11"/>
  <c r="AR102" i="11"/>
  <c r="Q102" i="11"/>
  <c r="V102" i="11"/>
  <c r="AQ102" i="11"/>
  <c r="AT102" i="11"/>
  <c r="AU102" i="11"/>
  <c r="M102" i="11"/>
  <c r="BA102" i="11"/>
  <c r="AM102" i="11"/>
  <c r="U102" i="11"/>
  <c r="P102" i="11"/>
  <c r="X102" i="11"/>
  <c r="AC102" i="11"/>
  <c r="AH102" i="11"/>
  <c r="AS102" i="11"/>
  <c r="K102" i="11"/>
  <c r="R102" i="11"/>
  <c r="AW102" i="11"/>
  <c r="AY102" i="11"/>
  <c r="AN102" i="11"/>
  <c r="Y99" i="19"/>
  <c r="M99" i="19"/>
  <c r="N99" i="19"/>
  <c r="X99" i="19"/>
  <c r="H99" i="19"/>
  <c r="U99" i="19"/>
  <c r="G51" i="11"/>
  <c r="F9" i="2" s="1"/>
  <c r="F10" i="43" s="1"/>
  <c r="X27" i="14"/>
  <c r="E11" i="2" s="1"/>
  <c r="X27" i="41"/>
  <c r="E10" i="2" s="1"/>
  <c r="X27" i="7"/>
  <c r="E8" i="2" s="1"/>
  <c r="C9" i="3"/>
  <c r="C49" i="39" s="1"/>
  <c r="E13" i="39"/>
  <c r="C12" i="3"/>
  <c r="E14" i="39"/>
  <c r="E19" i="3"/>
  <c r="Y17" i="56"/>
  <c r="Y10" i="5"/>
  <c r="Y6" i="10"/>
  <c r="Y19" i="41"/>
  <c r="Y9" i="42"/>
  <c r="Y24" i="56"/>
  <c r="Y23" i="5"/>
  <c r="Y13" i="10"/>
  <c r="Y26" i="41"/>
  <c r="Y22" i="42"/>
  <c r="Y16" i="16"/>
  <c r="Y7" i="7"/>
  <c r="Y20" i="10"/>
  <c r="Y16" i="14"/>
  <c r="Y14" i="56"/>
  <c r="Y7" i="5"/>
  <c r="Y20" i="7"/>
  <c r="Y16" i="41"/>
  <c r="Y12" i="42"/>
  <c r="Y10" i="7"/>
  <c r="Y16" i="56"/>
  <c r="Y23" i="41"/>
  <c r="Y21" i="5"/>
  <c r="Y14" i="42"/>
  <c r="Y21" i="7"/>
  <c r="C46" i="39"/>
  <c r="Y22" i="7"/>
  <c r="Y13" i="16"/>
  <c r="Y23" i="56"/>
  <c r="Y16" i="5"/>
  <c r="Y12" i="10"/>
  <c r="Y25" i="41"/>
  <c r="Y15" i="42"/>
  <c r="Y9" i="16"/>
  <c r="Y6" i="7"/>
  <c r="Y19" i="10"/>
  <c r="Y9" i="14"/>
  <c r="Y7" i="56"/>
  <c r="Y22" i="16"/>
  <c r="Y13" i="7"/>
  <c r="Y26" i="10"/>
  <c r="Y22" i="14"/>
  <c r="Y20" i="56"/>
  <c r="Y13" i="5"/>
  <c r="Y26" i="7"/>
  <c r="Y22" i="41"/>
  <c r="Y18" i="42"/>
  <c r="Y23" i="10"/>
  <c r="Y22" i="56"/>
  <c r="Y18" i="14"/>
  <c r="Y16" i="7"/>
  <c r="Y10" i="56"/>
  <c r="Y16" i="10"/>
  <c r="Y14" i="5"/>
  <c r="Y17" i="10"/>
  <c r="Y9" i="7"/>
  <c r="Y8" i="16"/>
  <c r="Y22" i="5"/>
  <c r="Y18" i="10"/>
  <c r="Y8" i="14"/>
  <c r="Y21" i="42"/>
  <c r="Y15" i="16"/>
  <c r="Y12" i="7"/>
  <c r="Y25" i="10"/>
  <c r="Y15" i="14"/>
  <c r="Y13" i="56"/>
  <c r="Y6" i="5"/>
  <c r="Y19" i="7"/>
  <c r="Y9" i="41"/>
  <c r="Y11" i="42"/>
  <c r="Y26" i="56"/>
  <c r="Y19" i="5"/>
  <c r="Y9" i="10"/>
  <c r="Y11" i="14"/>
  <c r="Y24" i="42"/>
  <c r="Y18" i="41"/>
  <c r="Y19" i="16"/>
  <c r="Y13" i="42"/>
  <c r="Y11" i="10"/>
  <c r="Y7" i="16"/>
  <c r="Y11" i="41"/>
  <c r="Y17" i="41"/>
  <c r="Y12" i="41"/>
  <c r="Y22" i="10"/>
  <c r="Y14" i="16"/>
  <c r="Y11" i="7"/>
  <c r="Y24" i="10"/>
  <c r="Y14" i="14"/>
  <c r="Y21" i="16"/>
  <c r="Y18" i="7"/>
  <c r="Y8" i="41"/>
  <c r="Y21" i="14"/>
  <c r="Y19" i="56"/>
  <c r="Y12" i="5"/>
  <c r="Y25" i="7"/>
  <c r="Y15" i="41"/>
  <c r="Y17" i="42"/>
  <c r="Y11" i="16"/>
  <c r="Y25" i="5"/>
  <c r="Y15" i="10"/>
  <c r="Y17" i="14"/>
  <c r="Y21" i="56"/>
  <c r="Y13" i="14"/>
  <c r="Y20" i="5"/>
  <c r="Y9" i="56"/>
  <c r="Y6" i="41"/>
  <c r="Y25" i="16"/>
  <c r="Y6" i="14"/>
  <c r="Y15" i="56"/>
  <c r="Y7" i="14"/>
  <c r="Y12" i="14"/>
  <c r="Y20" i="16"/>
  <c r="Y17" i="7"/>
  <c r="Y7" i="41"/>
  <c r="Y20" i="14"/>
  <c r="Y12" i="56"/>
  <c r="Y11" i="5"/>
  <c r="Y24" i="7"/>
  <c r="Y14" i="41"/>
  <c r="Y10" i="42"/>
  <c r="Y25" i="56"/>
  <c r="Y18" i="5"/>
  <c r="Y8" i="10"/>
  <c r="Y21" i="41"/>
  <c r="Y23" i="42"/>
  <c r="Y17" i="16"/>
  <c r="Y8" i="7"/>
  <c r="Y21" i="10"/>
  <c r="Y23" i="14"/>
  <c r="Y18" i="16"/>
  <c r="Y8" i="42"/>
  <c r="Y15" i="7"/>
  <c r="Y24" i="41"/>
  <c r="Y8" i="5"/>
  <c r="Y24" i="14"/>
  <c r="Y12" i="16"/>
  <c r="Y25" i="14"/>
  <c r="Y7" i="42"/>
  <c r="Y26" i="16"/>
  <c r="Y23" i="7"/>
  <c r="Y13" i="41"/>
  <c r="Y26" i="14"/>
  <c r="Y18" i="56"/>
  <c r="Y17" i="5"/>
  <c r="Y7" i="10"/>
  <c r="Y20" i="41"/>
  <c r="Y16" i="42"/>
  <c r="Y10" i="16"/>
  <c r="Y24" i="5"/>
  <c r="Y14" i="10"/>
  <c r="Y10" i="14"/>
  <c r="Y23" i="16"/>
  <c r="Y14" i="7"/>
  <c r="Y10" i="41"/>
  <c r="Y6" i="42"/>
  <c r="Y15" i="5"/>
  <c r="Y26" i="42"/>
  <c r="Y10" i="10"/>
  <c r="Y24" i="16"/>
  <c r="Y19" i="14"/>
  <c r="Y26" i="5"/>
  <c r="Y19" i="42"/>
  <c r="Y9" i="5"/>
  <c r="Y20" i="42"/>
  <c r="Y25" i="42"/>
  <c r="X27" i="5"/>
  <c r="E7" i="2" s="1"/>
  <c r="X27" i="10"/>
  <c r="E9" i="2" s="1"/>
  <c r="C7" i="3"/>
  <c r="C47" i="39" s="1"/>
  <c r="E11" i="39"/>
  <c r="E10" i="3"/>
  <c r="X27" i="42"/>
  <c r="E13" i="2" s="1"/>
  <c r="E15" i="39"/>
  <c r="C13" i="3"/>
  <c r="C51" i="39" s="1"/>
  <c r="V23" i="17"/>
  <c r="G23" i="17"/>
  <c r="L23" i="17"/>
  <c r="H22" i="17"/>
  <c r="U22" i="17"/>
  <c r="L22" i="17"/>
  <c r="R22" i="17"/>
  <c r="G34" i="2"/>
  <c r="G91" i="6"/>
  <c r="F30" i="2" s="1"/>
  <c r="J8" i="2"/>
  <c r="F27" i="3"/>
  <c r="F31" i="3"/>
  <c r="F29" i="3"/>
  <c r="F25" i="3"/>
  <c r="K15" i="3" s="1"/>
  <c r="F26" i="3"/>
  <c r="F28" i="3"/>
  <c r="F24" i="3"/>
  <c r="G32" i="3"/>
  <c r="H30" i="3" s="1"/>
  <c r="D32" i="3" l="1"/>
  <c r="E20" i="3"/>
  <c r="G48" i="19"/>
  <c r="F13" i="2" s="1"/>
  <c r="G13" i="2" s="1"/>
  <c r="R29" i="42" s="1"/>
  <c r="Q97" i="13"/>
  <c r="G46" i="13"/>
  <c r="F10" i="2" s="1"/>
  <c r="G10" i="43" s="1"/>
  <c r="K99" i="19"/>
  <c r="G7" i="2"/>
  <c r="L4" i="4" s="1"/>
  <c r="C27" i="29" s="1"/>
  <c r="W99" i="19"/>
  <c r="DB99" i="19"/>
  <c r="Q99" i="19"/>
  <c r="G11" i="2"/>
  <c r="L8" i="4" s="1"/>
  <c r="T27" i="29" s="1"/>
  <c r="G101" i="8"/>
  <c r="F31" i="2" s="1"/>
  <c r="J31" i="2" s="1"/>
  <c r="J7" i="2"/>
  <c r="P99" i="19"/>
  <c r="G99" i="19" s="1"/>
  <c r="F36" i="2" s="1"/>
  <c r="G36" i="2" s="1"/>
  <c r="O97" i="13"/>
  <c r="S99" i="19"/>
  <c r="T99" i="19"/>
  <c r="V99" i="19"/>
  <c r="G10" i="2"/>
  <c r="L7" i="4" s="1"/>
  <c r="L29" i="29" s="1"/>
  <c r="J10" i="2"/>
  <c r="K50" i="13" s="1"/>
  <c r="Q22" i="17"/>
  <c r="M23" i="17"/>
  <c r="W22" i="17"/>
  <c r="O22" i="17"/>
  <c r="K23" i="17"/>
  <c r="R23" i="17"/>
  <c r="H23" i="17"/>
  <c r="V22" i="17"/>
  <c r="S22" i="17"/>
  <c r="I22" i="17"/>
  <c r="Q23" i="17"/>
  <c r="X23" i="17"/>
  <c r="S23" i="17"/>
  <c r="N23" i="17"/>
  <c r="P22" i="17"/>
  <c r="X22" i="17"/>
  <c r="Z22" i="17"/>
  <c r="W23" i="17"/>
  <c r="D46" i="17"/>
  <c r="Y23" i="17"/>
  <c r="T23" i="17"/>
  <c r="K97" i="13"/>
  <c r="T97" i="13"/>
  <c r="L97" i="13"/>
  <c r="W97" i="13"/>
  <c r="J97" i="13"/>
  <c r="J22" i="17"/>
  <c r="I23" i="17"/>
  <c r="S97" i="13"/>
  <c r="DC97" i="13"/>
  <c r="H97" i="13"/>
  <c r="V97" i="13"/>
  <c r="M97" i="13"/>
  <c r="K22" i="17"/>
  <c r="T22" i="17"/>
  <c r="AA23" i="17"/>
  <c r="O23" i="17"/>
  <c r="Z23" i="17"/>
  <c r="Y22" i="17"/>
  <c r="M22" i="17"/>
  <c r="AA22" i="17"/>
  <c r="N22" i="17"/>
  <c r="P23" i="17"/>
  <c r="J23" i="17"/>
  <c r="I97" i="13"/>
  <c r="U97" i="13"/>
  <c r="X97" i="13"/>
  <c r="K30" i="15"/>
  <c r="G8" i="2"/>
  <c r="G54" i="8" s="1"/>
  <c r="J13" i="2"/>
  <c r="V29" i="42" s="1"/>
  <c r="G102" i="11"/>
  <c r="F32" i="2" s="1"/>
  <c r="G32" i="2" s="1"/>
  <c r="J10" i="43"/>
  <c r="G9" i="2"/>
  <c r="G55" i="11" s="1"/>
  <c r="J9" i="2"/>
  <c r="X11" i="56"/>
  <c r="X6" i="56"/>
  <c r="E21" i="39"/>
  <c r="C22" i="39" s="1"/>
  <c r="Y27" i="42"/>
  <c r="I13" i="2" s="1"/>
  <c r="Y27" i="10"/>
  <c r="I9" i="2" s="1"/>
  <c r="C10" i="3"/>
  <c r="Y27" i="14"/>
  <c r="I11" i="2" s="1"/>
  <c r="Y27" i="5"/>
  <c r="I7" i="2" s="1"/>
  <c r="X8" i="56"/>
  <c r="U15" i="4"/>
  <c r="U16" i="4" s="1"/>
  <c r="U17" i="4" s="1"/>
  <c r="AC37" i="29"/>
  <c r="X6" i="16"/>
  <c r="X27" i="16" s="1"/>
  <c r="E12" i="2" s="1"/>
  <c r="Y27" i="41"/>
  <c r="I10" i="2" s="1"/>
  <c r="Y27" i="7"/>
  <c r="I8" i="2" s="1"/>
  <c r="C19" i="3"/>
  <c r="C50" i="39"/>
  <c r="C57" i="39" s="1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J30" i="2"/>
  <c r="G30" i="2"/>
  <c r="G59" i="15"/>
  <c r="R84" i="14"/>
  <c r="K59" i="15"/>
  <c r="O8" i="4"/>
  <c r="T50" i="29" s="1"/>
  <c r="G52" i="19"/>
  <c r="L10" i="4"/>
  <c r="AC27" i="29" s="1"/>
  <c r="K54" i="8"/>
  <c r="V29" i="7"/>
  <c r="F32" i="3"/>
  <c r="H26" i="3"/>
  <c r="H25" i="3"/>
  <c r="H29" i="3"/>
  <c r="H27" i="3"/>
  <c r="H28" i="3"/>
  <c r="H31" i="3"/>
  <c r="H24" i="3"/>
  <c r="R29" i="7" l="1"/>
  <c r="R29" i="41"/>
  <c r="R29" i="14"/>
  <c r="G30" i="15"/>
  <c r="K52" i="19"/>
  <c r="V29" i="5"/>
  <c r="K50" i="6"/>
  <c r="G31" i="2"/>
  <c r="G50" i="6"/>
  <c r="V29" i="41"/>
  <c r="G50" i="13"/>
  <c r="G22" i="17"/>
  <c r="F12" i="2" s="1"/>
  <c r="R29" i="5"/>
  <c r="G97" i="13"/>
  <c r="F33" i="2" s="1"/>
  <c r="J33" i="2"/>
  <c r="K99" i="13" s="1"/>
  <c r="G33" i="2"/>
  <c r="G99" i="13" s="1"/>
  <c r="J32" i="2"/>
  <c r="L5" i="4"/>
  <c r="C29" i="29" s="1"/>
  <c r="J36" i="2"/>
  <c r="K101" i="19" s="1"/>
  <c r="G104" i="11"/>
  <c r="O6" i="4"/>
  <c r="L50" i="29" s="1"/>
  <c r="R114" i="10"/>
  <c r="L6" i="4"/>
  <c r="L27" i="29" s="1"/>
  <c r="R29" i="10"/>
  <c r="K55" i="11"/>
  <c r="V29" i="10"/>
  <c r="X27" i="56"/>
  <c r="E14" i="2" s="1"/>
  <c r="G14" i="2" s="1"/>
  <c r="R29" i="56" s="1"/>
  <c r="C20" i="3"/>
  <c r="G12" i="2"/>
  <c r="J12" i="2"/>
  <c r="I10" i="43"/>
  <c r="F15" i="2"/>
  <c r="G47" i="17"/>
  <c r="F35" i="2" s="1"/>
  <c r="R114" i="5"/>
  <c r="O4" i="4"/>
  <c r="C50" i="29" s="1"/>
  <c r="G93" i="6"/>
  <c r="V114" i="5"/>
  <c r="K93" i="6"/>
  <c r="R84" i="7"/>
  <c r="G103" i="8"/>
  <c r="O5" i="4"/>
  <c r="C52" i="29" s="1"/>
  <c r="G101" i="19"/>
  <c r="O10" i="4"/>
  <c r="AC50" i="29" s="1"/>
  <c r="K103" i="8"/>
  <c r="V84" i="7"/>
  <c r="H32" i="3"/>
  <c r="O7" i="4" l="1"/>
  <c r="L52" i="29" s="1"/>
  <c r="V114" i="10"/>
  <c r="K104" i="11"/>
  <c r="J15" i="43"/>
  <c r="K13" i="43"/>
  <c r="J17" i="43" s="1"/>
  <c r="J13" i="43" s="1"/>
  <c r="E21" i="43" s="1"/>
  <c r="E23" i="43" s="1"/>
  <c r="E15" i="2"/>
  <c r="G15" i="2" s="1"/>
  <c r="H7" i="2" s="1"/>
  <c r="L11" i="4"/>
  <c r="AC29" i="29" s="1"/>
  <c r="F15" i="43"/>
  <c r="Y6" i="56"/>
  <c r="Y11" i="56"/>
  <c r="D13" i="3"/>
  <c r="Y8" i="56"/>
  <c r="D12" i="3"/>
  <c r="D7" i="3"/>
  <c r="D16" i="3"/>
  <c r="D14" i="3"/>
  <c r="D18" i="3"/>
  <c r="Y6" i="16"/>
  <c r="Y27" i="16" s="1"/>
  <c r="I12" i="2" s="1"/>
  <c r="L37" i="29"/>
  <c r="D8" i="3"/>
  <c r="D15" i="3"/>
  <c r="D6" i="3"/>
  <c r="D17" i="3"/>
  <c r="D9" i="3"/>
  <c r="G35" i="2"/>
  <c r="J35" i="2"/>
  <c r="F37" i="2"/>
  <c r="K25" i="17"/>
  <c r="V29" i="16"/>
  <c r="L9" i="4"/>
  <c r="T29" i="29" s="1"/>
  <c r="G25" i="17"/>
  <c r="R29" i="16"/>
  <c r="Y27" i="56" l="1"/>
  <c r="I14" i="2" s="1"/>
  <c r="J14" i="2" s="1"/>
  <c r="V29" i="56" s="1"/>
  <c r="D19" i="3"/>
  <c r="D10" i="3"/>
  <c r="R30" i="10"/>
  <c r="G31" i="15"/>
  <c r="G51" i="13"/>
  <c r="D21" i="2"/>
  <c r="R30" i="42"/>
  <c r="R30" i="5"/>
  <c r="Q42" i="29"/>
  <c r="R30" i="16"/>
  <c r="D17" i="2"/>
  <c r="R30" i="41"/>
  <c r="R30" i="56"/>
  <c r="G55" i="8"/>
  <c r="G26" i="17"/>
  <c r="R30" i="7"/>
  <c r="G53" i="19"/>
  <c r="R30" i="14"/>
  <c r="G56" i="11"/>
  <c r="J37" i="2"/>
  <c r="K30" i="2" s="1"/>
  <c r="G37" i="2"/>
  <c r="H30" i="2" s="1"/>
  <c r="K49" i="17"/>
  <c r="V84" i="16"/>
  <c r="G49" i="17"/>
  <c r="O9" i="4"/>
  <c r="T52" i="29" s="1"/>
  <c r="R84" i="16"/>
  <c r="I15" i="2" l="1"/>
  <c r="J15" i="2" s="1"/>
  <c r="K7" i="2" s="1"/>
  <c r="V30" i="5" s="1"/>
  <c r="D20" i="3"/>
  <c r="K102" i="19"/>
  <c r="K50" i="17"/>
  <c r="K104" i="8"/>
  <c r="K100" i="13"/>
  <c r="V85" i="16"/>
  <c r="K105" i="11"/>
  <c r="V85" i="14"/>
  <c r="K94" i="6"/>
  <c r="V115" i="5"/>
  <c r="V115" i="10"/>
  <c r="V85" i="7"/>
  <c r="G60" i="15"/>
  <c r="Z65" i="29"/>
  <c r="G94" i="6"/>
  <c r="G104" i="8"/>
  <c r="R115" i="10"/>
  <c r="G100" i="13"/>
  <c r="R85" i="16"/>
  <c r="R85" i="14"/>
  <c r="R85" i="7"/>
  <c r="R115" i="5"/>
  <c r="G50" i="17"/>
  <c r="G102" i="19"/>
  <c r="K60" i="15"/>
  <c r="G105" i="11"/>
  <c r="D39" i="2"/>
  <c r="V30" i="41" l="1"/>
  <c r="V30" i="10"/>
  <c r="V30" i="42"/>
  <c r="V30" i="14"/>
  <c r="V30" i="56"/>
  <c r="K51" i="13"/>
  <c r="K53" i="19"/>
  <c r="K26" i="17"/>
  <c r="V30" i="16"/>
  <c r="K56" i="11"/>
  <c r="K31" i="15"/>
  <c r="K55" i="8"/>
  <c r="V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Dotta Rech</author>
    <author>Gustavo Klinguelfus</author>
  </authors>
  <commentList>
    <comment ref="N14" authorId="0" shapeId="0" xr:uid="{00000000-0006-0000-1700-000001000000}">
      <text>
        <r>
          <rPr>
            <sz val="9"/>
            <color indexed="81"/>
            <rFont val="Segoe UI"/>
            <family val="2"/>
          </rPr>
          <t>Insira o Fator de Correção conforme a cidade.</t>
        </r>
      </text>
    </comment>
    <comment ref="N16" authorId="0" shapeId="0" xr:uid="{00000000-0006-0000-1700-000002000000}">
      <text>
        <r>
          <rPr>
            <sz val="9"/>
            <color indexed="81"/>
            <rFont val="Segoe UI"/>
            <family val="2"/>
          </rPr>
          <t>Preencher apenas caso os valores sejam conhecidos. Caso contrário FCP = 0,1</t>
        </r>
      </text>
    </comment>
    <comment ref="N17" authorId="0" shapeId="0" xr:uid="{00000000-0006-0000-1700-000003000000}">
      <text>
        <r>
          <rPr>
            <sz val="9"/>
            <color indexed="81"/>
            <rFont val="Segoe UI"/>
            <family val="2"/>
          </rPr>
          <t>Preencher apenas caso os valores sejam conhecidos. Caso contrário FCP = 0,1</t>
        </r>
      </text>
    </comment>
    <comment ref="N18" authorId="0" shapeId="0" xr:uid="{00000000-0006-0000-1700-000004000000}">
      <text>
        <r>
          <rPr>
            <sz val="9"/>
            <color indexed="81"/>
            <rFont val="Segoe UI"/>
            <family val="2"/>
          </rPr>
          <t xml:space="preserve">
Preencher apenas caso os valores sejam conhecidos. Caso contrário FCP = 0,1</t>
        </r>
      </text>
    </comment>
    <comment ref="N45" authorId="0" shapeId="0" xr:uid="{00000000-0006-0000-1700-000005000000}">
      <text>
        <r>
          <rPr>
            <b/>
            <sz val="9"/>
            <color indexed="81"/>
            <rFont val="Segoe UI"/>
            <family val="2"/>
          </rPr>
          <t>Leticia Dotta Rech:</t>
        </r>
        <r>
          <rPr>
            <sz val="9"/>
            <color indexed="81"/>
            <rFont val="Segoe UI"/>
            <family val="2"/>
          </rPr>
          <t xml:space="preserve">
Insira o Fator de Correção conforme cidade.</t>
        </r>
      </text>
    </comment>
    <comment ref="N47" authorId="1" shapeId="0" xr:uid="{00000000-0006-0000-1700-000006000000}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Preencher apenas caso os valores sejam conhecidos. Caso contrário FCP = 0,1</t>
        </r>
      </text>
    </comment>
    <comment ref="N48" authorId="1" shapeId="0" xr:uid="{00000000-0006-0000-1700-000007000000}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Preencher apenas caso os valores sejam conhecidos. Caso contrário FCP = 0,1</t>
        </r>
      </text>
    </comment>
    <comment ref="N49" authorId="1" shapeId="0" xr:uid="{00000000-0006-0000-1700-000008000000}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sharedStrings.xml><?xml version="1.0" encoding="utf-8"?>
<sst xmlns="http://schemas.openxmlformats.org/spreadsheetml/2006/main" count="12876" uniqueCount="5880">
  <si>
    <t>INFORMAÇÕES SOBRE A UNIDADE CONSUMIDORA</t>
  </si>
  <si>
    <t>CUSTOS FIXOS APLICADOS NO PROJETO</t>
  </si>
  <si>
    <t>CONTRATO DE DESEMPENHO</t>
  </si>
  <si>
    <t>AQUECIMENTO SOLAR DE ÁGUA</t>
  </si>
  <si>
    <t>Tipologia</t>
  </si>
  <si>
    <t>Usos finais previstos</t>
  </si>
  <si>
    <t>Usos finais realizados</t>
  </si>
  <si>
    <t>Contrato de desempenho</t>
  </si>
  <si>
    <t>Atividade</t>
  </si>
  <si>
    <t>RCB limite</t>
  </si>
  <si>
    <t>Retorno do investimento</t>
  </si>
  <si>
    <t>Tarifa</t>
  </si>
  <si>
    <t>Mão de obra própria</t>
  </si>
  <si>
    <t>Divisão de valores</t>
  </si>
  <si>
    <t>Transporte</t>
  </si>
  <si>
    <t>Divisão da vida útil ex ante</t>
  </si>
  <si>
    <t>Vida útil (anos)</t>
  </si>
  <si>
    <t>Divisão da vida útil ex post</t>
  </si>
  <si>
    <t>Cidade</t>
  </si>
  <si>
    <t>Fator de correção</t>
  </si>
  <si>
    <t>SELECIONE A TIPOLOGIA</t>
  </si>
  <si>
    <t>Iluminação</t>
  </si>
  <si>
    <t>IPCA mensal de referência</t>
  </si>
  <si>
    <t>SELECIONE O TIPO DE ATIVIDADE</t>
  </si>
  <si>
    <t>SELECIONE O TIPO DE EMPRESA</t>
  </si>
  <si>
    <t>Não selecionado</t>
  </si>
  <si>
    <t>SELECIONE A TARIFA</t>
  </si>
  <si>
    <t>Horas utilizadas</t>
  </si>
  <si>
    <t>ARACAJU</t>
  </si>
  <si>
    <t>CIDADES</t>
  </si>
  <si>
    <t>INDUSTRIAL</t>
  </si>
  <si>
    <t>Condicionamento ambiental</t>
  </si>
  <si>
    <t>Multa atraso</t>
  </si>
  <si>
    <t>MICRO OU PEQUENA EMPRESA</t>
  </si>
  <si>
    <t>Micro ou pequena empresa</t>
  </si>
  <si>
    <t>CONVENCIONAL</t>
  </si>
  <si>
    <t>Custo homem-hora</t>
  </si>
  <si>
    <t>BELÉM</t>
  </si>
  <si>
    <t>CSL</t>
  </si>
  <si>
    <t>ABATIA</t>
  </si>
  <si>
    <t>NRT</t>
  </si>
  <si>
    <t>COMÉRCIO E SERVIÇOS</t>
  </si>
  <si>
    <t>Sistemas motrizes</t>
  </si>
  <si>
    <t>FUNDO PERDIDO</t>
  </si>
  <si>
    <t>DEMAIS EMPRESAS</t>
  </si>
  <si>
    <t>Demais empresas</t>
  </si>
  <si>
    <t>TARIFA VERDE</t>
  </si>
  <si>
    <t>Motores</t>
  </si>
  <si>
    <t>BELO HORIZONTE</t>
  </si>
  <si>
    <t>LES</t>
  </si>
  <si>
    <t>ADRIANOPOLIS</t>
  </si>
  <si>
    <t>PODER PÚBLICO</t>
  </si>
  <si>
    <t>Sistemas de refrigeração</t>
  </si>
  <si>
    <t>NÃO SE APLICA</t>
  </si>
  <si>
    <t>Não se aplica</t>
  </si>
  <si>
    <t>TARIFA AZUL</t>
  </si>
  <si>
    <t>Parcela fixa</t>
  </si>
  <si>
    <t>BRASÍLIA</t>
  </si>
  <si>
    <t>NRO</t>
  </si>
  <si>
    <t>AGUDOS DO SUL</t>
  </si>
  <si>
    <t>SERVIÇOS PÚBLICOS</t>
  </si>
  <si>
    <t>Aquecimento solar de água</t>
  </si>
  <si>
    <t>CONSUMIDOR LIVRE</t>
  </si>
  <si>
    <t>CAMPO GRANDE</t>
  </si>
  <si>
    <t>OES</t>
  </si>
  <si>
    <t>ALMIRANTE TAMANDARE</t>
  </si>
  <si>
    <t>RURAL</t>
  </si>
  <si>
    <t>Equipamentos hospitalares</t>
  </si>
  <si>
    <t>CUIABÁ</t>
  </si>
  <si>
    <t>ALTAMIRA DO PARANA</t>
  </si>
  <si>
    <t>RESIDENCIAL</t>
  </si>
  <si>
    <t>Outros</t>
  </si>
  <si>
    <t>CURITIBA</t>
  </si>
  <si>
    <t>COPEL</t>
  </si>
  <si>
    <t>ALTO PARAISO (V. ALTA)</t>
  </si>
  <si>
    <t>RESIDENCIAL BAIXA RENDA</t>
  </si>
  <si>
    <t>TOTAL</t>
  </si>
  <si>
    <t>FLORIANÓPOLIS</t>
  </si>
  <si>
    <t>ALTO PARANA</t>
  </si>
  <si>
    <t>FORTALEZA</t>
  </si>
  <si>
    <t>ALTO PIQUIRI</t>
  </si>
  <si>
    <t>GOIÂNIA</t>
  </si>
  <si>
    <t>ALTONIA</t>
  </si>
  <si>
    <t>Categiria Bônus</t>
  </si>
  <si>
    <t>ESCOLHA A OPÇÃO</t>
  </si>
  <si>
    <t>Custos com solar</t>
  </si>
  <si>
    <t>JOÃO PESSOA</t>
  </si>
  <si>
    <t>ALVORADA DO SUL</t>
  </si>
  <si>
    <t>SIM</t>
  </si>
  <si>
    <t>MACAPÁ</t>
  </si>
  <si>
    <t>AMAPORA</t>
  </si>
  <si>
    <t>NÃO</t>
  </si>
  <si>
    <t>MACEIÓ</t>
  </si>
  <si>
    <t>AMPERE</t>
  </si>
  <si>
    <t>MANAUS</t>
  </si>
  <si>
    <t>ANAHY</t>
  </si>
  <si>
    <t>NATAL</t>
  </si>
  <si>
    <t>ANDIRA</t>
  </si>
  <si>
    <t>PORTO ALEGRE</t>
  </si>
  <si>
    <t>ANGULO</t>
  </si>
  <si>
    <t>PORTO NACIONAL</t>
  </si>
  <si>
    <t>ANTONINA</t>
  </si>
  <si>
    <t>PORTO VELHO</t>
  </si>
  <si>
    <t>ANTONIO OLINTO</t>
  </si>
  <si>
    <t>RECIFE</t>
  </si>
  <si>
    <t>APUCARANA</t>
  </si>
  <si>
    <t>RIBEIRÃO PRETO</t>
  </si>
  <si>
    <t>ARAPONGAS</t>
  </si>
  <si>
    <t>RIO DE JANEIRO</t>
  </si>
  <si>
    <t>ARAPOTI</t>
  </si>
  <si>
    <t>SALVADOR</t>
  </si>
  <si>
    <t>ARAPUA</t>
  </si>
  <si>
    <t>SÃO LUÍS</t>
  </si>
  <si>
    <t>ARARUNA</t>
  </si>
  <si>
    <t>SÃO PAULO</t>
  </si>
  <si>
    <t>ARAUCARIA</t>
  </si>
  <si>
    <t>TERESINA</t>
  </si>
  <si>
    <t>ARIRANHA DO IVAI</t>
  </si>
  <si>
    <t>VITÓRIA</t>
  </si>
  <si>
    <t>ASSAI</t>
  </si>
  <si>
    <t>Condições:</t>
  </si>
  <si>
    <t>ASSIS CHATEAUBRIAND</t>
  </si>
  <si>
    <t>Temperatura de armazenamento = 40°C</t>
  </si>
  <si>
    <t>ASTORGA</t>
  </si>
  <si>
    <t>Volume armazenado = Volume consumido</t>
  </si>
  <si>
    <t>ATALAIA</t>
  </si>
  <si>
    <t>Ex ante:</t>
  </si>
  <si>
    <t>BALSA NOVA</t>
  </si>
  <si>
    <t>BANDEIRANTES</t>
  </si>
  <si>
    <t>Ex post:</t>
  </si>
  <si>
    <t>BARBOSA FERRAZ</t>
  </si>
  <si>
    <t>BARRACAO</t>
  </si>
  <si>
    <t>BELA VISTA DA CAROBA</t>
  </si>
  <si>
    <t>BELA VISTA DO PARAISO</t>
  </si>
  <si>
    <t>BITURUNA</t>
  </si>
  <si>
    <t>BOA ESPERANCA</t>
  </si>
  <si>
    <t>BOA ESPERANCA DO IGUACU</t>
  </si>
  <si>
    <t>BOA VENTURA DE SAO ROQUE</t>
  </si>
  <si>
    <t>BOA VISTA DA APARECIDA</t>
  </si>
  <si>
    <t>BOCAIUVA DO SUL</t>
  </si>
  <si>
    <t>BOM JESUS DO SUL</t>
  </si>
  <si>
    <t>BOM SUCESSO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</si>
  <si>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</si>
  <si>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</si>
  <si>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</si>
  <si>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</si>
  <si>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</si>
  <si>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</si>
  <si>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</si>
  <si>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</si>
  <si>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</si>
  <si>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</si>
  <si>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</si>
  <si>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</si>
  <si>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</si>
  <si>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</si>
  <si>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</si>
  <si>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</si>
  <si>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MAGRO</t>
  </si>
  <si>
    <t>CAMPO MOURAO</t>
  </si>
  <si>
    <t>CANDIDO DE ABREU</t>
  </si>
  <si>
    <t>CANDOI</t>
  </si>
  <si>
    <t>CANTAGALO</t>
  </si>
  <si>
    <t>CAPANEMA</t>
  </si>
  <si>
    <t>CAPITAO LEONIDAS MARQUES</t>
  </si>
  <si>
    <t>CARAMBEI</t>
  </si>
  <si>
    <t>CARLOPOLIS</t>
  </si>
  <si>
    <t>CASCAVEL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</si>
  <si>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</si>
  <si>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</si>
  <si>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</si>
  <si>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</si>
  <si>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</si>
  <si>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</si>
  <si>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</si>
  <si>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</si>
  <si>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</si>
  <si>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</si>
  <si>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</si>
  <si>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</si>
  <si>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</si>
  <si>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</si>
  <si>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</si>
  <si>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</si>
  <si>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</si>
  <si>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</si>
  <si>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 DO SUL</t>
  </si>
  <si>
    <t>CRUZ MACHADO</t>
  </si>
  <si>
    <t>CRUZEIRO DO IGUACU</t>
  </si>
  <si>
    <t>CRUZEIRO DO OESTE</t>
  </si>
  <si>
    <t>CRUZEIRO DO SUL</t>
  </si>
  <si>
    <t>CRUZMALTINA</t>
  </si>
  <si>
    <t>CURIUVA</t>
  </si>
  <si>
    <t>DIAMANTE DO NORTE</t>
  </si>
  <si>
    <t>DIAMANTE DO OESTE</t>
  </si>
  <si>
    <t>DIAMANTE DO SUL</t>
  </si>
  <si>
    <t>DOIS VIZINHOS</t>
  </si>
  <si>
    <t>DOURADINA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</si>
  <si>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</si>
  <si>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</si>
  <si>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</si>
  <si>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</si>
  <si>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</si>
  <si>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</si>
  <si>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</si>
  <si>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</si>
  <si>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</si>
  <si>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</si>
  <si>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</si>
  <si>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</si>
  <si>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</si>
  <si>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</si>
  <si>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</si>
  <si>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FLORESTA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</si>
  <si>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</si>
  <si>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</si>
  <si>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</si>
  <si>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</si>
  <si>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</si>
  <si>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</si>
  <si>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</si>
  <si>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GENERAL CARNEIRO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</si>
  <si>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</si>
  <si>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</si>
  <si>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</si>
  <si>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</si>
  <si>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</si>
  <si>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</si>
  <si>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</si>
  <si>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</si>
  <si>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</si>
  <si>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</si>
  <si>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</si>
  <si>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</si>
  <si>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</si>
  <si>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</si>
  <si>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</si>
  <si>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</si>
  <si>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</si>
  <si>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</si>
  <si>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</si>
  <si>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</si>
  <si>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IGUATU</t>
  </si>
  <si>
    <t>IMBAU</t>
  </si>
  <si>
    <t>IMBITUVA</t>
  </si>
  <si>
    <t>INACIO MARTINS</t>
  </si>
  <si>
    <t>INAJA</t>
  </si>
  <si>
    <t>INDIANOPOLIS</t>
  </si>
  <si>
    <t>IPIRANGA</t>
  </si>
  <si>
    <t>IPORA</t>
  </si>
  <si>
    <t>IRACEMA DO OESTE</t>
  </si>
  <si>
    <t>IRATI</t>
  </si>
  <si>
    <t>IRETAMA</t>
  </si>
  <si>
    <t>ITAGUAJE</t>
  </si>
  <si>
    <t>ITAIPULANDIA</t>
  </si>
  <si>
    <t>ITAMBARACA</t>
  </si>
  <si>
    <t>ITAMBE</t>
  </si>
  <si>
    <t>ITAPEJARA DOESTE</t>
  </si>
  <si>
    <t>ITAPERUCU</t>
  </si>
  <si>
    <t>ITAUNA DO SUL</t>
  </si>
  <si>
    <t>IVAI</t>
  </si>
  <si>
    <t>IVAIPORA</t>
  </si>
  <si>
    <t>IVATE</t>
  </si>
  <si>
    <t>IVATUBA</t>
  </si>
  <si>
    <t>JABOTI</t>
  </si>
  <si>
    <t>JAGUAPITA</t>
  </si>
  <si>
    <t>JAGUARIAIVA</t>
  </si>
  <si>
    <t>JANDAIA DO SUL</t>
  </si>
  <si>
    <t>JANIOPOLIS</t>
  </si>
  <si>
    <t>JAPIRA</t>
  </si>
  <si>
    <t>JAPURA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</si>
  <si>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</si>
  <si>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</si>
  <si>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</si>
  <si>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</si>
  <si>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</si>
  <si>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</si>
  <si>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</si>
  <si>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JUSSARA</t>
  </si>
  <si>
    <t>KALORE</t>
  </si>
  <si>
    <t>LAPA</t>
  </si>
  <si>
    <t>LARANJAL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</si>
  <si>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</si>
  <si>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</si>
  <si>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</si>
  <si>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</si>
  <si>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</si>
  <si>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</si>
  <si>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</si>
  <si>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</si>
  <si>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</si>
  <si>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</si>
  <si>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</si>
  <si>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</si>
  <si>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</si>
  <si>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</si>
  <si>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</si>
  <si>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</si>
  <si>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</si>
  <si>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</si>
  <si>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</si>
  <si>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</si>
  <si>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</si>
  <si>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</si>
  <si>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</si>
  <si>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</si>
  <si>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</si>
  <si>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</si>
  <si>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</si>
  <si>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</si>
  <si>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</si>
  <si>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</si>
  <si>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</si>
  <si>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</si>
  <si>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</si>
  <si>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</si>
  <si>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</si>
  <si>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</si>
  <si>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</si>
  <si>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</si>
  <si>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</si>
  <si>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</si>
  <si>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</si>
  <si>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</si>
  <si>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</si>
  <si>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</si>
  <si>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</si>
  <si>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</si>
  <si>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</si>
  <si>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</si>
  <si>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</si>
  <si>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FATIMA</t>
  </si>
  <si>
    <t>NOVA LARANJEIRAS</t>
  </si>
  <si>
    <t>NOVA LONDRINA</t>
  </si>
  <si>
    <t>NOVA OLIMPIA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</si>
  <si>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</si>
  <si>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</si>
  <si>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</si>
  <si>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</si>
  <si>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</si>
  <si>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</si>
  <si>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</si>
  <si>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</si>
  <si>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</si>
  <si>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</si>
  <si>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</si>
  <si>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</si>
  <si>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</si>
  <si>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</si>
  <si>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</si>
  <si>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</si>
  <si>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</si>
  <si>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</si>
  <si>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</si>
  <si>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</si>
  <si>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</si>
  <si>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</si>
  <si>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</si>
  <si>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</si>
  <si>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</si>
  <si>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DOESTE</t>
  </si>
  <si>
    <t>PIEN</t>
  </si>
  <si>
    <t>PINHAIS</t>
  </si>
  <si>
    <t>PINHAL DE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</si>
  <si>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</si>
  <si>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</si>
  <si>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</si>
  <si>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</si>
  <si>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</si>
  <si>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</si>
  <si>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</si>
  <si>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PLANALTO</t>
  </si>
  <si>
    <t>PONTA GROSSA</t>
  </si>
  <si>
    <t>PONTAL DO PARANA</t>
  </si>
  <si>
    <t>PORECATU</t>
  </si>
  <si>
    <t>PORTO AMAZONAS</t>
  </si>
  <si>
    <t>PORTO BARREIRO</t>
  </si>
  <si>
    <t>PORTO RICO</t>
  </si>
  <si>
    <t>PORTO UNIAO - SC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</si>
  <si>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</si>
  <si>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</si>
  <si>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</si>
  <si>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</si>
  <si>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</si>
  <si>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</si>
  <si>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</si>
  <si>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</si>
  <si>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</si>
  <si>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</si>
  <si>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</si>
  <si>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</si>
  <si>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</si>
  <si>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</si>
  <si>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</si>
  <si>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</si>
  <si>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</si>
  <si>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</si>
  <si>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</si>
  <si>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</si>
  <si>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</si>
  <si>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</si>
  <si>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DO PINHAL</t>
  </si>
  <si>
    <t>RIO AZUL</t>
  </si>
  <si>
    <t>RIO BOM</t>
  </si>
  <si>
    <t>RIO BONITO DO IGUACU</t>
  </si>
  <si>
    <t>RIO BRANCO DO IVAI</t>
  </si>
  <si>
    <t>RIO BRANCO DO SUL</t>
  </si>
  <si>
    <t>RIO NEGRO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</si>
  <si>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</si>
  <si>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</si>
  <si>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</si>
  <si>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</si>
  <si>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</si>
  <si>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</si>
  <si>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</si>
  <si>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</si>
  <si>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</si>
  <si>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</si>
  <si>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</si>
  <si>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</si>
  <si>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HELENA</t>
  </si>
  <si>
    <t>SANTA INES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</si>
  <si>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</si>
  <si>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</si>
  <si>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</si>
  <si>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</si>
  <si>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</si>
  <si>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</si>
  <si>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</si>
  <si>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</si>
  <si>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</si>
  <si>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</si>
  <si>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</si>
  <si>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</si>
  <si>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</si>
  <si>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</si>
  <si>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</si>
  <si>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</si>
  <si>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</t>
  </si>
  <si>
    <t>SAO JOAO DO CAIUA</t>
  </si>
  <si>
    <t>SAO JOAO DO IVAI</t>
  </si>
  <si>
    <t>SAO JOAO DO TRIUNFO</t>
  </si>
  <si>
    <t>SAO JORGE DO IVAI</t>
  </si>
  <si>
    <t>SAO JORGE DO PATROCINIO</t>
  </si>
  <si>
    <t>SAO JORGE DOESTE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</si>
  <si>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</si>
  <si>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</si>
  <si>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</si>
  <si>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</si>
  <si>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</si>
  <si>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</si>
  <si>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</si>
  <si>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</si>
  <si>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</si>
  <si>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</si>
  <si>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</si>
  <si>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</si>
  <si>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</si>
  <si>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</si>
  <si>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</si>
  <si>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</si>
  <si>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</si>
  <si>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</si>
  <si>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</si>
  <si>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</si>
  <si>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</si>
  <si>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</si>
  <si>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</si>
  <si>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</si>
  <si>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</si>
  <si>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</si>
  <si>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</si>
  <si>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</si>
  <si>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</si>
  <si>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</si>
  <si>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</si>
  <si>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</si>
  <si>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</si>
  <si>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</si>
  <si>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</si>
  <si>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</si>
  <si>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</si>
  <si>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</si>
  <si>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</si>
  <si>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</si>
  <si>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</si>
  <si>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</si>
  <si>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</si>
  <si>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</si>
  <si>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</si>
  <si>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</si>
  <si>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</si>
  <si>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</si>
  <si>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WENCESLAU BRAZ</t>
  </si>
  <si>
    <t>XAMBRE</t>
  </si>
  <si>
    <t>RS</t>
  </si>
  <si>
    <t>Selicione Atividade</t>
  </si>
  <si>
    <t>Selecione Contratação</t>
  </si>
  <si>
    <t>Selecione Tarifa</t>
  </si>
  <si>
    <t>Selecione Nível de Tensão</t>
  </si>
  <si>
    <t>SP</t>
  </si>
  <si>
    <t xml:space="preserve">38 - Supermercado </t>
  </si>
  <si>
    <t>Contrato de Desempenho</t>
  </si>
  <si>
    <t xml:space="preserve">104 - Com Controlador de Demanda </t>
  </si>
  <si>
    <t xml:space="preserve">53 - A1 (230 kV ou mais) </t>
  </si>
  <si>
    <t>PR</t>
  </si>
  <si>
    <t xml:space="preserve">39 - Creche </t>
  </si>
  <si>
    <t>Fundo Perdido</t>
  </si>
  <si>
    <t xml:space="preserve">105 - Convencional </t>
  </si>
  <si>
    <t xml:space="preserve">54 - A2 – Cooperativa de Eletrificação Rural (88 a 138 kV) </t>
  </si>
  <si>
    <t>MG</t>
  </si>
  <si>
    <t>40 - Hospitais e Postos de Saúde</t>
  </si>
  <si>
    <t xml:space="preserve">106 - Energia Fotovoltaica (Res. 083/2004) </t>
  </si>
  <si>
    <t xml:space="preserve">55 - A2 (88 a 138 kV) </t>
  </si>
  <si>
    <t>41 - Asilo</t>
  </si>
  <si>
    <t xml:space="preserve">107 - Horo-Sazonal Azul </t>
  </si>
  <si>
    <t xml:space="preserve">56 - A3 – Cooperativa de Eletrificação Rural (69 kV) </t>
  </si>
  <si>
    <t>42 - Shopping Center e Centros Comerciais</t>
  </si>
  <si>
    <t xml:space="preserve">108 - Horo-Sazonal Verde </t>
  </si>
  <si>
    <t xml:space="preserve">57 - A3 – Serviço Público de Irrigação (69 kV) </t>
  </si>
  <si>
    <t>43 - Administração Publica</t>
  </si>
  <si>
    <t xml:space="preserve">110 - Tarifa Amarela </t>
  </si>
  <si>
    <t xml:space="preserve">58 - A3 (69 kV) </t>
  </si>
  <si>
    <t>44 - Mineração, Petróleo e Química</t>
  </si>
  <si>
    <t xml:space="preserve">111 - Tarifa de Emergência Horo-Sazonal Azul </t>
  </si>
  <si>
    <t>59 - A3a – Cooperativa de Eletrificação Rural (30 kV a 44 kV)</t>
  </si>
  <si>
    <t>ILUMINAÇÃO PÚBLICA</t>
  </si>
  <si>
    <t>45 - Indústria Alimentícia</t>
  </si>
  <si>
    <t>112 - Tarifa de Emergência Horo-Sazonal Verde</t>
  </si>
  <si>
    <t xml:space="preserve">60 - A3a – Serviço Público de Irrigação (30 kV a 44 kV) </t>
  </si>
  <si>
    <t xml:space="preserve">46 - Indústria Têxtil e de Vestuário </t>
  </si>
  <si>
    <t xml:space="preserve">113 - Tensão Secundária de Distribuição em 127 V </t>
  </si>
  <si>
    <t xml:space="preserve">61 - A3a (30 kV a 44 kV) </t>
  </si>
  <si>
    <t xml:space="preserve">47 - Indústria Metalúrgica, Mecânica e de Siderurgia </t>
  </si>
  <si>
    <t xml:space="preserve">114 - Tensão Secundária de Distribuição em 220 V </t>
  </si>
  <si>
    <t xml:space="preserve">62 - A4 – Cooperativa de Eletrificação Rural (2,3 kV a 25 kV) </t>
  </si>
  <si>
    <t xml:space="preserve">48 - Captação, Tratamento e Distribuição de Água e Saneamento </t>
  </si>
  <si>
    <t xml:space="preserve">115 - Tarifa Branca </t>
  </si>
  <si>
    <t xml:space="preserve">63 - A4 – Serviço Público de Irrigação (2,3 kV a 25 kV) </t>
  </si>
  <si>
    <t xml:space="preserve">49 - Indústria Automobilística </t>
  </si>
  <si>
    <t xml:space="preserve">116 - Pré-Pagamento </t>
  </si>
  <si>
    <t xml:space="preserve">64 - A4 (2,3 a 25 kV) </t>
  </si>
  <si>
    <t xml:space="preserve">50 - Defesa e Seguridade Social </t>
  </si>
  <si>
    <t>109 - Não se aplica</t>
  </si>
  <si>
    <t xml:space="preserve">65 - A4a – Cooperativa de Eletrificação Rural Tipo 1 </t>
  </si>
  <si>
    <t>51 - Ensino Superior</t>
  </si>
  <si>
    <t xml:space="preserve">66 - A4b – Cooperativa de Eletrificação Rural Tipo 2 </t>
  </si>
  <si>
    <t xml:space="preserve">52 - Ensino Fundamental e médio </t>
  </si>
  <si>
    <t xml:space="preserve">67 - A4c – Cooperativa de Eletrificação Rural Tipo 3 </t>
  </si>
  <si>
    <t xml:space="preserve">125 - Residencial </t>
  </si>
  <si>
    <t xml:space="preserve">68 - AS (Subterrâneo) </t>
  </si>
  <si>
    <t>126 - Residencial baixa renda</t>
  </si>
  <si>
    <t xml:space="preserve">69 - B1 – Residencial </t>
  </si>
  <si>
    <t xml:space="preserve">127 - Rural </t>
  </si>
  <si>
    <t xml:space="preserve">70 - B1 – Residencial Baixa Renda </t>
  </si>
  <si>
    <t>128 - Instituições Financeiras</t>
  </si>
  <si>
    <t xml:space="preserve">96 - B2 – Cooperativa de Eletrificação Rural </t>
  </si>
  <si>
    <t xml:space="preserve">137 - Não se aplica  </t>
  </si>
  <si>
    <t xml:space="preserve">97 - B2 – Rural </t>
  </si>
  <si>
    <t xml:space="preserve">138 - Outros </t>
  </si>
  <si>
    <t xml:space="preserve">98 - B2 – Serviço Público de Irrigação </t>
  </si>
  <si>
    <t>99 - B3 – Classe Comercial (Consumo mensal até 1.436 Ah)</t>
  </si>
  <si>
    <t xml:space="preserve">100 - B3 – Classe Comercial (Consumo mensal até 820 Ah) </t>
  </si>
  <si>
    <t xml:space="preserve">101 - B3 – Demais Classes </t>
  </si>
  <si>
    <t xml:space="preserve">102 - B4a – Iluminação Pública – Rede de Distribuição </t>
  </si>
  <si>
    <t>103 - B4b – Iluminação Pública – Bulbo de Lâmpada</t>
  </si>
  <si>
    <t xml:space="preserve">129 - Não se aplica </t>
  </si>
  <si>
    <t>ORIENTAÇÕES GERAIS SOBRE A PLANILHA</t>
  </si>
  <si>
    <t>1.</t>
  </si>
  <si>
    <t>Abas ou células não utilizadas NÃO poderão ser "ocultas" e NUNCA "excluídas", evitando a quebra de vínculos da planilha.</t>
  </si>
  <si>
    <t>2.</t>
  </si>
  <si>
    <t>Avaliação ex ante:</t>
  </si>
  <si>
    <t>2.1.</t>
  </si>
  <si>
    <t>Avaliação realizada através de valores estimados, na fase de definição do projeto.</t>
  </si>
  <si>
    <t>2.2.</t>
  </si>
  <si>
    <t>Custos e benefícios são avaliados através de levantamentos, dados de catálogos e estimativas.</t>
  </si>
  <si>
    <t>2.3.</t>
  </si>
  <si>
    <t>É a avaliação inicial do projeto, realizada antes do início do projeto.</t>
  </si>
  <si>
    <t>2.4.</t>
  </si>
  <si>
    <t>Avaliação realizada para avaliar a viabilidade dos investimentos a serem realizados.</t>
  </si>
  <si>
    <t>2.5.</t>
  </si>
  <si>
    <t>A avaliação ex ante apresentada nesta planilha é baseada no disposto no PROPEE.</t>
  </si>
  <si>
    <t>3.</t>
  </si>
  <si>
    <t>A planilha realiza a avaliação dos custos do projeto nas 2 situações descritas pelo PROPEE:</t>
  </si>
  <si>
    <t>3.1.</t>
  </si>
  <si>
    <r>
      <rPr>
        <b/>
        <sz val="11"/>
        <color indexed="8"/>
        <rFont val="Calibri"/>
        <family val="2"/>
      </rPr>
      <t>Ponto de vista do PEE</t>
    </r>
    <r>
      <rPr>
        <sz val="11"/>
        <color theme="1"/>
        <rFont val="Calibri"/>
        <family val="2"/>
        <scheme val="minor"/>
      </rPr>
      <t>: avaliam-se somente os custos despendidos pelo PEE.</t>
    </r>
  </si>
  <si>
    <t>3.2.</t>
  </si>
  <si>
    <r>
      <rPr>
        <b/>
        <sz val="11"/>
        <color indexed="8"/>
        <rFont val="Calibri"/>
        <family val="2"/>
      </rPr>
      <t>Ponto de vista do projeto</t>
    </r>
    <r>
      <rPr>
        <sz val="11"/>
        <color theme="1"/>
        <rFont val="Calibri"/>
        <family val="2"/>
        <scheme val="minor"/>
      </rPr>
      <t>: avaliam-se todos os custos despendidos no projeto, tanto do PEE quanto de contrapartidas.</t>
    </r>
  </si>
  <si>
    <t>4.</t>
  </si>
  <si>
    <t>A planilha realiza a avaliação dos benefícios do projeto em 1 situação descrita pelo PROPEE:</t>
  </si>
  <si>
    <t>4.1.</t>
  </si>
  <si>
    <r>
      <rPr>
        <b/>
        <sz val="11"/>
        <color indexed="8"/>
        <rFont val="Calibri"/>
        <family val="2"/>
      </rPr>
      <t>Ótica do sistema elétrico</t>
    </r>
    <r>
      <rPr>
        <sz val="11"/>
        <color theme="1"/>
        <rFont val="Calibri"/>
        <family val="2"/>
        <scheme val="minor"/>
      </rPr>
      <t>: valorando os benefícios em comparação pelo custo marginal de expansão do sistema.</t>
    </r>
  </si>
  <si>
    <t>5.</t>
  </si>
  <si>
    <t>A planilha apresenta uma estimativa das parcelas do contrato de desempenho, não refletindo necessariamente a</t>
  </si>
  <si>
    <t>situação final, uma vez que podem haver diferenças entre as metas previstas e realizadas de custos e benefícios.</t>
  </si>
  <si>
    <t>ORIENTAÇÕES GERAIS PARA PREENCHIMENTO DA PLANILHA</t>
  </si>
  <si>
    <t>Deverão ser preenchidas apenas as células em branco.</t>
  </si>
  <si>
    <t xml:space="preserve">2. </t>
  </si>
  <si>
    <r>
      <t>A primeira aba a ser preenchida é a aba "</t>
    </r>
    <r>
      <rPr>
        <b/>
        <sz val="11"/>
        <color indexed="8"/>
        <rFont val="Calibri"/>
        <family val="2"/>
      </rPr>
      <t>Escolha tarifa</t>
    </r>
    <r>
      <rPr>
        <sz val="11"/>
        <color theme="1"/>
        <rFont val="Calibri"/>
        <family val="2"/>
        <scheme val="minor"/>
      </rPr>
      <t>".</t>
    </r>
  </si>
  <si>
    <t>2.1</t>
  </si>
  <si>
    <t>Deverá ser selecionada a distribuidora e a tarifa utilizada pelo cliente.</t>
  </si>
  <si>
    <t>2.2</t>
  </si>
  <si>
    <r>
      <t xml:space="preserve">Para os projetos de </t>
    </r>
    <r>
      <rPr>
        <b/>
        <sz val="11"/>
        <color indexed="8"/>
        <rFont val="Calibri"/>
        <family val="2"/>
      </rPr>
      <t>Iluminação Pública</t>
    </r>
    <r>
      <rPr>
        <sz val="11"/>
        <color theme="1"/>
        <rFont val="Calibri"/>
        <family val="2"/>
        <scheme val="minor"/>
      </rPr>
      <t xml:space="preserve">, deverá ser utilizada as informações contidas nessa aba, de acordo com o </t>
    </r>
  </si>
  <si>
    <t>município que será realizado o projeto.</t>
  </si>
  <si>
    <r>
      <t xml:space="preserve">Sequencialmente, deverá ser preenchida a aba </t>
    </r>
    <r>
      <rPr>
        <b/>
        <sz val="11"/>
        <color indexed="8"/>
        <rFont val="Calibri"/>
        <family val="2"/>
      </rPr>
      <t>"Projeto"</t>
    </r>
    <r>
      <rPr>
        <sz val="11"/>
        <color theme="1"/>
        <rFont val="Calibri"/>
        <family val="2"/>
        <scheme val="minor"/>
      </rPr>
      <t>.</t>
    </r>
  </si>
  <si>
    <t>3.1</t>
  </si>
  <si>
    <r>
      <t>Inicia-se com o preenchimento dos dados de "</t>
    </r>
    <r>
      <rPr>
        <b/>
        <sz val="11"/>
        <color indexed="8"/>
        <rFont val="Calibri"/>
        <family val="2"/>
      </rPr>
      <t>IDENTIFICAÇÃO DO PROJETO</t>
    </r>
    <r>
      <rPr>
        <sz val="11"/>
        <color theme="1"/>
        <rFont val="Calibri"/>
        <family val="2"/>
        <scheme val="minor"/>
      </rPr>
      <t>".</t>
    </r>
  </si>
  <si>
    <t>3.2</t>
  </si>
  <si>
    <r>
      <t>Após preenche-se os dados de "</t>
    </r>
    <r>
      <rPr>
        <b/>
        <sz val="11"/>
        <color indexed="8"/>
        <rFont val="Calibri"/>
        <family val="2"/>
      </rPr>
      <t>IDENTIFICAÇÃO DA UNIDADE CONSUMIDORA</t>
    </r>
    <r>
      <rPr>
        <sz val="11"/>
        <color theme="1"/>
        <rFont val="Calibri"/>
        <family val="2"/>
        <scheme val="minor"/>
      </rPr>
      <t>".</t>
    </r>
  </si>
  <si>
    <t>Terminada esta primeira etapa, procede-se com o cálculo dos custos e dos benefícios, em qualquer ordem. De acordo com os usos finais que serão utilizados como proposta de projeto.</t>
  </si>
  <si>
    <t>Atentar-se ao fato de que existe uma aba específica para o Sistema Solar Fotovoltaico, tanto para benefício como para custos do projeto.</t>
  </si>
  <si>
    <t>ORIENTAÇÕES GERAIS PARA PREENCHER ABA "UCS"</t>
  </si>
  <si>
    <t>Inserir as unidades consumidoras contempladas pelo projeto uma em cada tabela, exemplo "E2"</t>
  </si>
  <si>
    <t>Para unidades consumidoras de BT inserir os consumos de energia na coluna "Consumo Fora Ponta [b]" conforme fatura de energia. Não realizar o  preenchimento de demanda.</t>
  </si>
  <si>
    <t>Para unidades consumidoras de AT inserir os consumos fora ponta e ponta respectivamente em suas colunas e prencher os valores de demananda conforme fatura de energia.</t>
  </si>
  <si>
    <t>Ajustar o periodo das leituras conforme fatura de energia</t>
  </si>
  <si>
    <t>Para clientes AT informar a demanda contratada</t>
  </si>
  <si>
    <t>ORIENTAÇÕES GERAIS SOBRE A ABA "PROJETO"</t>
  </si>
  <si>
    <t>O preenchimento dos dados de "IDENTIFICAÇÃO DA UNIDADE CONSUMIDORA" é muito importante e deve ser feita de forma</t>
  </si>
  <si>
    <t>criteriosa, uma vez que estes parâmetros influenciam diretamente nos cálculos realizados por esta planilha.</t>
  </si>
  <si>
    <r>
      <rPr>
        <b/>
        <sz val="11"/>
        <color indexed="8"/>
        <rFont val="Calibri"/>
        <family val="2"/>
      </rPr>
      <t>Atividade</t>
    </r>
    <r>
      <rPr>
        <sz val="11"/>
        <color theme="1"/>
        <rFont val="Calibri"/>
        <family val="2"/>
        <scheme val="minor"/>
      </rPr>
      <t>: define-se se a unidade consumidora possui ou não fins lucrativos</t>
    </r>
  </si>
  <si>
    <t>1.1.</t>
  </si>
  <si>
    <r>
      <rPr>
        <b/>
        <sz val="11"/>
        <color indexed="8"/>
        <rFont val="Calibri"/>
        <family val="2"/>
      </rPr>
      <t>Com fins lucrativos</t>
    </r>
    <r>
      <rPr>
        <sz val="11"/>
        <color theme="1"/>
        <rFont val="Calibri"/>
        <family val="2"/>
        <scheme val="minor"/>
      </rPr>
      <t>: com esta opção é habilitada a simulação das parcelas do contrato de desempenho.</t>
    </r>
  </si>
  <si>
    <t>1.2.</t>
  </si>
  <si>
    <r>
      <rPr>
        <b/>
        <sz val="11"/>
        <color indexed="8"/>
        <rFont val="Calibri"/>
        <family val="2"/>
      </rPr>
      <t>Sem fins lucrativos</t>
    </r>
    <r>
      <rPr>
        <sz val="11"/>
        <color theme="1"/>
        <rFont val="Calibri"/>
        <family val="2"/>
        <scheme val="minor"/>
      </rPr>
      <t>: a simulação do contrato de desempenho é desabilitada.</t>
    </r>
  </si>
  <si>
    <r>
      <rPr>
        <b/>
        <sz val="11"/>
        <color indexed="8"/>
        <rFont val="Calibri"/>
        <family val="2"/>
      </rPr>
      <t>Tipo de empresa</t>
    </r>
    <r>
      <rPr>
        <sz val="11"/>
        <color theme="1"/>
        <rFont val="Calibri"/>
        <family val="2"/>
        <scheme val="minor"/>
      </rPr>
      <t>: utilizado para definição do montante a ser devolvido via contrato de desempenho.</t>
    </r>
  </si>
  <si>
    <r>
      <rPr>
        <b/>
        <sz val="11"/>
        <color indexed="8"/>
        <rFont val="Calibri"/>
        <family val="2"/>
      </rPr>
      <t>Micro ou pequena empresa</t>
    </r>
    <r>
      <rPr>
        <sz val="11"/>
        <color theme="1"/>
        <rFont val="Calibri"/>
        <family val="2"/>
        <scheme val="minor"/>
      </rPr>
      <t>: retorno de 80% do investimento realizado via contrato de desempenho.</t>
    </r>
  </si>
  <si>
    <r>
      <rPr>
        <b/>
        <sz val="11"/>
        <color indexed="8"/>
        <rFont val="Calibri"/>
        <family val="2"/>
      </rPr>
      <t>Demais empresas</t>
    </r>
    <r>
      <rPr>
        <sz val="11"/>
        <color theme="1"/>
        <rFont val="Calibri"/>
        <family val="2"/>
        <scheme val="minor"/>
      </rPr>
      <t>: retorno de 100% do investimento realizado via contrato de desempenho.</t>
    </r>
  </si>
  <si>
    <r>
      <rPr>
        <b/>
        <sz val="11"/>
        <color indexed="8"/>
        <rFont val="Calibri"/>
        <family val="2"/>
      </rPr>
      <t>Não se aplica</t>
    </r>
    <r>
      <rPr>
        <sz val="11"/>
        <color theme="1"/>
        <rFont val="Calibri"/>
        <family val="2"/>
        <scheme val="minor"/>
      </rPr>
      <t>: unidade consumidora sem fins lucrativos, ou seja, não se aplica o contrato de desempenho.</t>
    </r>
  </si>
  <si>
    <r>
      <rPr>
        <b/>
        <sz val="11"/>
        <color indexed="8"/>
        <rFont val="Calibri"/>
        <family val="2"/>
      </rPr>
      <t>Modalidade tarifária</t>
    </r>
    <r>
      <rPr>
        <sz val="11"/>
        <color theme="1"/>
        <rFont val="Calibri"/>
        <family val="2"/>
        <scheme val="minor"/>
      </rPr>
      <t>: em qual das tarifas a unidade consumidora se enquadra:</t>
    </r>
  </si>
  <si>
    <t>Convencional</t>
  </si>
  <si>
    <t>Tarifa verde</t>
  </si>
  <si>
    <t>3.3.</t>
  </si>
  <si>
    <t>Tarifa azul</t>
  </si>
  <si>
    <t>3.4.</t>
  </si>
  <si>
    <t>Consumidor livre</t>
  </si>
  <si>
    <r>
      <rPr>
        <b/>
        <sz val="11"/>
        <color indexed="8"/>
        <rFont val="Calibri"/>
        <family val="2"/>
      </rPr>
      <t>Subgrupo tarifário</t>
    </r>
    <r>
      <rPr>
        <sz val="11"/>
        <color theme="1"/>
        <rFont val="Calibri"/>
        <family val="2"/>
        <scheme val="minor"/>
      </rPr>
      <t>: grupo de tensão no qual a unidade consumidora se enquadra, utilizado para definir:</t>
    </r>
  </si>
  <si>
    <r>
      <rPr>
        <b/>
        <sz val="11"/>
        <color indexed="8"/>
        <rFont val="Calibri"/>
        <family val="2"/>
      </rPr>
      <t>CEE</t>
    </r>
    <r>
      <rPr>
        <sz val="11"/>
        <color theme="1"/>
        <rFont val="Calibri"/>
        <family val="2"/>
        <scheme val="minor"/>
      </rPr>
      <t>: custo da energia evitada.</t>
    </r>
  </si>
  <si>
    <t>4.2.</t>
  </si>
  <si>
    <r>
      <rPr>
        <b/>
        <sz val="11"/>
        <color indexed="8"/>
        <rFont val="Calibri"/>
        <family val="2"/>
      </rPr>
      <t>CED</t>
    </r>
    <r>
      <rPr>
        <sz val="11"/>
        <color theme="1"/>
        <rFont val="Calibri"/>
        <family val="2"/>
        <scheme val="minor"/>
      </rPr>
      <t>: custo evitado de demanda</t>
    </r>
  </si>
  <si>
    <r>
      <t>Deverá ser utilizado o mesmo grupo tarifário definido na aba "</t>
    </r>
    <r>
      <rPr>
        <b/>
        <sz val="11"/>
        <color indexed="8"/>
        <rFont val="Calibri"/>
        <family val="2"/>
      </rPr>
      <t>Escolha tarifa</t>
    </r>
    <r>
      <rPr>
        <sz val="11"/>
        <color theme="1"/>
        <rFont val="Calibri"/>
        <family val="2"/>
        <scheme val="minor"/>
      </rPr>
      <t>".</t>
    </r>
  </si>
  <si>
    <t>ORIENTAÇÕES GERAIS PARA CÁLCULO DOS BENEFÍCIOS DO PROJETO</t>
  </si>
  <si>
    <t>Os equipamentos deverão ser agrupados de acordo com suas características nominais e perfis de funcionamento.</t>
  </si>
  <si>
    <t>Premissas utilizadas na planilha:</t>
  </si>
  <si>
    <t>2.1. Tempo limite definido:</t>
  </si>
  <si>
    <r>
      <rPr>
        <b/>
        <sz val="11"/>
        <color indexed="8"/>
        <rFont val="Calibri"/>
        <family val="2"/>
      </rPr>
      <t>24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</si>
  <si>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indexed="8"/>
        <rFont val="Calibri"/>
        <family val="2"/>
      </rPr>
      <t>365 dias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</si>
  <si>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indexed="8"/>
        <rFont val="Calibri"/>
        <family val="2"/>
      </rPr>
      <t>8.760 horas</t>
    </r>
    <r>
      <rPr>
        <sz val="11"/>
        <color theme="1"/>
        <rFont val="Calibri"/>
        <family val="2"/>
        <scheme val="minor"/>
      </rPr>
      <t xml:space="preserve"> por ano</t>
    </r>
  </si>
  <si>
    <t>2.2. FCP limite:</t>
  </si>
  <si>
    <r>
      <rPr>
        <b/>
        <sz val="11"/>
        <color indexed="8"/>
        <rFont val="Calibri"/>
        <family val="2"/>
      </rPr>
      <t>3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</si>
  <si>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indexed="8"/>
        <rFont val="Calibri"/>
        <family val="2"/>
      </rPr>
      <t>22 dias úteis</t>
    </r>
    <r>
      <rPr>
        <sz val="11"/>
        <color theme="1"/>
        <rFont val="Calibri"/>
        <family val="2"/>
        <scheme val="minor"/>
      </rPr>
      <t xml:space="preserve"> por mês</t>
    </r>
  </si>
  <si>
    <r>
      <rPr>
        <b/>
        <sz val="11"/>
        <color indexed="8"/>
        <rFont val="Calibri"/>
        <family val="2"/>
      </rPr>
      <t>12 meses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</si>
  <si>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indexed="8"/>
        <rFont val="Calibri"/>
        <family val="2"/>
      </rPr>
      <t>792 horas na ponta</t>
    </r>
    <r>
      <rPr>
        <sz val="11"/>
        <color theme="1"/>
        <rFont val="Calibri"/>
        <family val="2"/>
        <scheme val="minor"/>
      </rPr>
      <t xml:space="preserve"> por ano</t>
    </r>
  </si>
  <si>
    <r>
      <t xml:space="preserve">O horário de ponta da CPFL é das </t>
    </r>
    <r>
      <rPr>
        <b/>
        <sz val="11"/>
        <color indexed="8"/>
        <rFont val="Calibri"/>
        <family val="2"/>
      </rPr>
      <t>18h00 às 21h00</t>
    </r>
    <r>
      <rPr>
        <sz val="11"/>
        <color theme="1"/>
        <rFont val="Calibri"/>
        <family val="2"/>
        <scheme val="minor"/>
      </rPr>
      <t xml:space="preserve">. </t>
    </r>
  </si>
  <si>
    <t>ORIENTAÇÕES GERAIS PARA CÁLCULO DOS CUSTOS DO PROJETO</t>
  </si>
  <si>
    <t>Os equipamentos deverão ser agrupados de acordo com suas características nominais e perfis de funcionamento, desta</t>
  </si>
  <si>
    <t>forma os materiais ficarão agrupados de acordo com as respectivas características técnicas e vidas úteis.</t>
  </si>
  <si>
    <t>A planilha calcula o valor global de cada custo do projeto, sendo que as contrapartidas são inseridas posteriormente.</t>
  </si>
  <si>
    <r>
      <t xml:space="preserve">Deverão ser inseridos os </t>
    </r>
    <r>
      <rPr>
        <b/>
        <sz val="11"/>
        <color indexed="8"/>
        <rFont val="Calibri"/>
        <family val="2"/>
      </rPr>
      <t>valores globais do projeto</t>
    </r>
    <r>
      <rPr>
        <sz val="11"/>
        <color theme="1"/>
        <rFont val="Calibri"/>
        <family val="2"/>
        <scheme val="minor"/>
      </rPr>
      <t xml:space="preserve"> em cada campo de inserção de custos, conforme:</t>
    </r>
  </si>
  <si>
    <t>Os campos "Quantidade" e "Preço unitário" para "Materiais e equipamentos", "Outros custos diretos", "Marketing",</t>
  </si>
  <si>
    <t>"Treinamento e capacitação", "Descarte de equipamentos", "Medição e verificação" e "Outros custos indiretos".</t>
  </si>
  <si>
    <t>Os campos "Quantidade", "Horas" e "Valor da hora" para "Mão de obra de terceiros".</t>
  </si>
  <si>
    <t>Os valores correspondentes às contrapartidas deverão ser inseridos nos campos específicos "Cliente" e "Empresa executora",</t>
  </si>
  <si>
    <r>
      <t>dispostos nas colunas de "</t>
    </r>
    <r>
      <rPr>
        <b/>
        <sz val="11"/>
        <color indexed="8"/>
        <rFont val="Calibri"/>
        <family val="2"/>
      </rPr>
      <t>ORIGEM DOS RECURSOS</t>
    </r>
    <r>
      <rPr>
        <sz val="11"/>
        <color theme="1"/>
        <rFont val="Calibri"/>
        <family val="2"/>
        <scheme val="minor"/>
      </rPr>
      <t>". O custo de contrapartida inserido irá ser subtraído do custo total e</t>
    </r>
  </si>
  <si>
    <t>o restante irá compor o custo aportado com recursos próprios (PEE).</t>
  </si>
  <si>
    <t>Os custos referentes à "medição e verificação" e "descarte de materiais" deverão ser inseridos nas planilhas específicas.</t>
  </si>
  <si>
    <t xml:space="preserve">CEE E CED </t>
  </si>
  <si>
    <t>CPFL Piratininga</t>
  </si>
  <si>
    <t>RGE</t>
  </si>
  <si>
    <t>CPFL Paulista</t>
  </si>
  <si>
    <t>CPFL Santa Cruz</t>
  </si>
  <si>
    <t>Subgrupo tarifário</t>
  </si>
  <si>
    <t>CEE</t>
  </si>
  <si>
    <t>CED</t>
  </si>
  <si>
    <t>TE + TUSD</t>
  </si>
  <si>
    <t>PIS</t>
  </si>
  <si>
    <t>COFINS</t>
  </si>
  <si>
    <t>TE</t>
  </si>
  <si>
    <t xml:space="preserve">PIS </t>
  </si>
  <si>
    <t>SELECIONE O SUBGRUPO TARIFÁRIO</t>
  </si>
  <si>
    <t>A1 - ACIMA DE 230 kV</t>
  </si>
  <si>
    <t>A2 - DE 88 kV A 230 kV</t>
  </si>
  <si>
    <t>A3 - 69 kV</t>
  </si>
  <si>
    <t>A3a - DE 30 kV A 44 kV</t>
  </si>
  <si>
    <t>A4 - DE 2,3 kV A 25 kV</t>
  </si>
  <si>
    <t>B1 - BAIXA TENSÃO (RESIDENCIAL)</t>
  </si>
  <si>
    <t>AS - SUBTERRÂNEO</t>
  </si>
  <si>
    <t>B2 - BAIXA TENSÃO (RURAL)</t>
  </si>
  <si>
    <t>B2 - BAIXA TENSÃO (SERVIÇO PÚBLICO DE IRRIGAÇÃO)</t>
  </si>
  <si>
    <t>B3 - BAIXA TENSÃO (DEMAIS CLASSES)</t>
  </si>
  <si>
    <t>atualizado em 06/05/2024</t>
  </si>
  <si>
    <t xml:space="preserve">  </t>
  </si>
  <si>
    <t xml:space="preserve"> </t>
  </si>
  <si>
    <t>Distribuidora</t>
  </si>
  <si>
    <t>ESTADO</t>
  </si>
  <si>
    <t>MUNICÍPIO</t>
  </si>
  <si>
    <t>Nome</t>
  </si>
  <si>
    <t>Horas</t>
  </si>
  <si>
    <t>Tempo de utilização</t>
  </si>
  <si>
    <t>Utilização ponta</t>
  </si>
  <si>
    <t>Água Santa</t>
  </si>
  <si>
    <t>Paulista</t>
  </si>
  <si>
    <t>Águas de Lindóia</t>
  </si>
  <si>
    <t>Piratininga</t>
  </si>
  <si>
    <t>Alumínio</t>
  </si>
  <si>
    <t>Santa Cruz</t>
  </si>
  <si>
    <t>Alambari</t>
  </si>
  <si>
    <t>Ajuricaba</t>
  </si>
  <si>
    <t>Águas de São Pedro</t>
  </si>
  <si>
    <t>Araçariguama</t>
  </si>
  <si>
    <t>Guareí</t>
  </si>
  <si>
    <t>Alecrim</t>
  </si>
  <si>
    <t>Agudos</t>
  </si>
  <si>
    <t>Araçoiaba da Serra</t>
  </si>
  <si>
    <t>Itapetininga</t>
  </si>
  <si>
    <t>Alegria</t>
  </si>
  <si>
    <t>Altair</t>
  </si>
  <si>
    <t>Boituva</t>
  </si>
  <si>
    <t>São Miguel Arcanjo</t>
  </si>
  <si>
    <t>Alpestre</t>
  </si>
  <si>
    <t>Altinópolis</t>
  </si>
  <si>
    <t>Campo Limpo Paulista</t>
  </si>
  <si>
    <t>Sarapuí</t>
  </si>
  <si>
    <t>Alto Feliz</t>
  </si>
  <si>
    <t>Alto Alegre</t>
  </si>
  <si>
    <t>Capela do Alto</t>
  </si>
  <si>
    <t>Águas de Santa Bárbara</t>
  </si>
  <si>
    <t>Ametista do Sul</t>
  </si>
  <si>
    <t>Álvaro de Carvalho</t>
  </si>
  <si>
    <t>Cubatão</t>
  </si>
  <si>
    <t>Arandu</t>
  </si>
  <si>
    <t>André da Rocha</t>
  </si>
  <si>
    <t>Alvinlândia</t>
  </si>
  <si>
    <t>Guarujá</t>
  </si>
  <si>
    <t>Avaré</t>
  </si>
  <si>
    <t>Anta Gorda</t>
  </si>
  <si>
    <t>Americana</t>
  </si>
  <si>
    <t>Ibiúna</t>
  </si>
  <si>
    <t>Barra do Jacaré</t>
  </si>
  <si>
    <t>Antônio Prado</t>
  </si>
  <si>
    <t>Américo Brasiliense</t>
  </si>
  <si>
    <t>Indaiatuba</t>
  </si>
  <si>
    <t>Bernardino de Campos</t>
  </si>
  <si>
    <t>Aratiba</t>
  </si>
  <si>
    <t>Amparo</t>
  </si>
  <si>
    <t>Iperó</t>
  </si>
  <si>
    <t>Canitar</t>
  </si>
  <si>
    <t>Arvorezinha</t>
  </si>
  <si>
    <t>Analândia</t>
  </si>
  <si>
    <t>Itu</t>
  </si>
  <si>
    <t>Cerqueira César</t>
  </si>
  <si>
    <t>Augusto Pestana</t>
  </si>
  <si>
    <t>Araçatuba</t>
  </si>
  <si>
    <t>Itupeva</t>
  </si>
  <si>
    <t>Chavantes</t>
  </si>
  <si>
    <t>Áurea</t>
  </si>
  <si>
    <t>Aramina</t>
  </si>
  <si>
    <t>Jundiaí</t>
  </si>
  <si>
    <t>Espírito Santo do Turvo</t>
  </si>
  <si>
    <t>Barão</t>
  </si>
  <si>
    <t>Araraquara</t>
  </si>
  <si>
    <t>Louveira</t>
  </si>
  <si>
    <t>Iaras</t>
  </si>
  <si>
    <t>Barão de Cotegipe</t>
  </si>
  <si>
    <t>Arealva</t>
  </si>
  <si>
    <t>Mairinque</t>
  </si>
  <si>
    <t>Ipaussu</t>
  </si>
  <si>
    <t>Barra do Guarita</t>
  </si>
  <si>
    <t>Areiópolis</t>
  </si>
  <si>
    <t>Porto Feliz</t>
  </si>
  <si>
    <t>Itaí</t>
  </si>
  <si>
    <t>Barra do Rio Azul</t>
  </si>
  <si>
    <t>Ariranha</t>
  </si>
  <si>
    <t>Praia Grande</t>
  </si>
  <si>
    <t>Jacarezinho</t>
  </si>
  <si>
    <t>Barra Funda</t>
  </si>
  <si>
    <t>Avaí</t>
  </si>
  <si>
    <t>Salto</t>
  </si>
  <si>
    <t>Manduri</t>
  </si>
  <si>
    <t>Barracão</t>
  </si>
  <si>
    <t>Avanhandava</t>
  </si>
  <si>
    <t>Salto de Pirapora</t>
  </si>
  <si>
    <t>Óleo</t>
  </si>
  <si>
    <t>Barros Cassal</t>
  </si>
  <si>
    <t>Bady Bassitt</t>
  </si>
  <si>
    <t>Santos</t>
  </si>
  <si>
    <t>Ourinhos</t>
  </si>
  <si>
    <t>Benjamin Constant do Sul</t>
  </si>
  <si>
    <t>Balbinos</t>
  </si>
  <si>
    <t>São Roque</t>
  </si>
  <si>
    <t>Paranapanema</t>
  </si>
  <si>
    <t>Bento Gonçalves</t>
  </si>
  <si>
    <t>Bálsamo</t>
  </si>
  <si>
    <t>São Vicente</t>
  </si>
  <si>
    <t>Piraju</t>
  </si>
  <si>
    <t>Boa Vista das Missões</t>
  </si>
  <si>
    <t>Barbosa</t>
  </si>
  <si>
    <t>Sorocaba</t>
  </si>
  <si>
    <t>Ribeirão Claro</t>
  </si>
  <si>
    <t>Boa Vista do Buricá</t>
  </si>
  <si>
    <t>Bariri</t>
  </si>
  <si>
    <t>Várzea Paulista</t>
  </si>
  <si>
    <t>Santa Cruz do Rio Pardo</t>
  </si>
  <si>
    <t>Boa Vista do Cadeado</t>
  </si>
  <si>
    <t>Barra Bonita</t>
  </si>
  <si>
    <t>Vinhedo</t>
  </si>
  <si>
    <t>São Pedro do Turvo</t>
  </si>
  <si>
    <t>Boa Vista do Sul</t>
  </si>
  <si>
    <t>Barretos</t>
  </si>
  <si>
    <t>Votorantim</t>
  </si>
  <si>
    <t>Sarutaiá</t>
  </si>
  <si>
    <t>Bom Jesus</t>
  </si>
  <si>
    <t>Barrinha</t>
  </si>
  <si>
    <t>Taguaí</t>
  </si>
  <si>
    <t>Bom Progresso</t>
  </si>
  <si>
    <t>Batatais</t>
  </si>
  <si>
    <t>Taquarituba</t>
  </si>
  <si>
    <t>Bozano</t>
  </si>
  <si>
    <t>Bauru</t>
  </si>
  <si>
    <t>Tejupá</t>
  </si>
  <si>
    <t>Braga</t>
  </si>
  <si>
    <t>Bebedouro</t>
  </si>
  <si>
    <t>Timburi</t>
  </si>
  <si>
    <t>Cachoeirinha</t>
  </si>
  <si>
    <t>Bento de Abreu</t>
  </si>
  <si>
    <t>Ubirajara</t>
  </si>
  <si>
    <t>Cacique Doble</t>
  </si>
  <si>
    <t>Bilac</t>
  </si>
  <si>
    <t>Arceburgo</t>
  </si>
  <si>
    <t>Caiçara</t>
  </si>
  <si>
    <t>Birigui</t>
  </si>
  <si>
    <t>Itamogi</t>
  </si>
  <si>
    <t>Camargo</t>
  </si>
  <si>
    <t>Boa Esperança do Sul</t>
  </si>
  <si>
    <t>Mococa</t>
  </si>
  <si>
    <t>Cambará do Sul</t>
  </si>
  <si>
    <t>Bocaina</t>
  </si>
  <si>
    <t>Monte Santo de Minas</t>
  </si>
  <si>
    <t>Campestre da Serra</t>
  </si>
  <si>
    <t>Bofete</t>
  </si>
  <si>
    <t>Caconde</t>
  </si>
  <si>
    <t>Campina das Missões</t>
  </si>
  <si>
    <t>Boracéia</t>
  </si>
  <si>
    <t>Casa Branca</t>
  </si>
  <si>
    <t>Campinas do Sul</t>
  </si>
  <si>
    <t>Borebi</t>
  </si>
  <si>
    <t>Divinolândia</t>
  </si>
  <si>
    <t>Campo Novo</t>
  </si>
  <si>
    <t>Botucatu</t>
  </si>
  <si>
    <t>Itobi</t>
  </si>
  <si>
    <t>Cândido Godói</t>
  </si>
  <si>
    <t>Braúna</t>
  </si>
  <si>
    <t>São José do Rio Pardo</t>
  </si>
  <si>
    <t>Canela</t>
  </si>
  <si>
    <t>Brejo Alegre</t>
  </si>
  <si>
    <t>São Sebastião da Grama</t>
  </si>
  <si>
    <t>Capão Bonito do Sul</t>
  </si>
  <si>
    <t>Brodowski</t>
  </si>
  <si>
    <t>Tapiratiba</t>
  </si>
  <si>
    <t>Carlos Barbosa</t>
  </si>
  <si>
    <t>Brotas</t>
  </si>
  <si>
    <t>Jaguariúna</t>
  </si>
  <si>
    <t>Carlos Gomes</t>
  </si>
  <si>
    <t>Buritizal</t>
  </si>
  <si>
    <t>Pedreira</t>
  </si>
  <si>
    <t>Casca</t>
  </si>
  <si>
    <t>Cabrália Paulista</t>
  </si>
  <si>
    <t>Caseiros</t>
  </si>
  <si>
    <t>Cafelândia</t>
  </si>
  <si>
    <t>Catuípe</t>
  </si>
  <si>
    <t>Cajobi</t>
  </si>
  <si>
    <t>Caxias do Sul</t>
  </si>
  <si>
    <t>Cajuru</t>
  </si>
  <si>
    <t>Centenário</t>
  </si>
  <si>
    <t>Campinas</t>
  </si>
  <si>
    <t>Cerro Grande</t>
  </si>
  <si>
    <t>Campos Novos Paulista</t>
  </si>
  <si>
    <t>Cerro Largo</t>
  </si>
  <si>
    <t>Cândido Rodrigues</t>
  </si>
  <si>
    <t>Charrua</t>
  </si>
  <si>
    <t>Capivari</t>
  </si>
  <si>
    <t>Chiapetta</t>
  </si>
  <si>
    <t>Cássia dos Coqueiros</t>
  </si>
  <si>
    <t>Ciríaco</t>
  </si>
  <si>
    <t>Cedral</t>
  </si>
  <si>
    <t>Constantina</t>
  </si>
  <si>
    <t>Charqueada</t>
  </si>
  <si>
    <t>Coronel Bicaco</t>
  </si>
  <si>
    <t>Clementina</t>
  </si>
  <si>
    <t>Coronel Pilar</t>
  </si>
  <si>
    <t>Colina</t>
  </si>
  <si>
    <t>Cotiporã</t>
  </si>
  <si>
    <t>Colômbia</t>
  </si>
  <si>
    <t>Coxilha</t>
  </si>
  <si>
    <t>Coroados</t>
  </si>
  <si>
    <t>Crissiumal</t>
  </si>
  <si>
    <t>Cosmópolis</t>
  </si>
  <si>
    <t>Cristal do Sul</t>
  </si>
  <si>
    <t>Cravinhos</t>
  </si>
  <si>
    <t>Cruz Alta</t>
  </si>
  <si>
    <t>Cristais Paulista</t>
  </si>
  <si>
    <t>Cruzaltense</t>
  </si>
  <si>
    <t>Descalvado</t>
  </si>
  <si>
    <t>David Canabarro</t>
  </si>
  <si>
    <t>Dobrada</t>
  </si>
  <si>
    <t>Derrubadas</t>
  </si>
  <si>
    <t>Dois Córregos</t>
  </si>
  <si>
    <t>Dezesseis de Novembro</t>
  </si>
  <si>
    <t>Dourado</t>
  </si>
  <si>
    <t>Dois Irmãos das Missões</t>
  </si>
  <si>
    <t>Duartina</t>
  </si>
  <si>
    <t>Dois Lajeados</t>
  </si>
  <si>
    <t>Dumont</t>
  </si>
  <si>
    <t>Doutor Maurício Cardoso</t>
  </si>
  <si>
    <t>Elias Fausto</t>
  </si>
  <si>
    <t>Engenho Velho</t>
  </si>
  <si>
    <t>Embaúba</t>
  </si>
  <si>
    <t>Entre Rios do Sul</t>
  </si>
  <si>
    <t>Espírito Santo do Pinhal</t>
  </si>
  <si>
    <t>Entre-Ijuís</t>
  </si>
  <si>
    <t>Fernando Prestes</t>
  </si>
  <si>
    <t>Erebango</t>
  </si>
  <si>
    <t>Fernão</t>
  </si>
  <si>
    <t>Erechim</t>
  </si>
  <si>
    <t>Franca</t>
  </si>
  <si>
    <t>Ernestina</t>
  </si>
  <si>
    <t>Gabriel Monteiro</t>
  </si>
  <si>
    <t>Erval Grande</t>
  </si>
  <si>
    <t>Gália</t>
  </si>
  <si>
    <t>Erval Seco</t>
  </si>
  <si>
    <t>Garça</t>
  </si>
  <si>
    <t>Esmeralda</t>
  </si>
  <si>
    <t>Gavião Peixoto</t>
  </si>
  <si>
    <t>Esperança do Sul</t>
  </si>
  <si>
    <t>Getulina</t>
  </si>
  <si>
    <t>Espumoso</t>
  </si>
  <si>
    <t>Glicério</t>
  </si>
  <si>
    <t>Estação</t>
  </si>
  <si>
    <t>Guaiçara</t>
  </si>
  <si>
    <t>Estrela Velha</t>
  </si>
  <si>
    <t>Guaimbê</t>
  </si>
  <si>
    <t>Eugênio de Castro</t>
  </si>
  <si>
    <t>Guaíra</t>
  </si>
  <si>
    <t>Fagundes Varela</t>
  </si>
  <si>
    <t>Guapiaçu</t>
  </si>
  <si>
    <t>Farroupilha</t>
  </si>
  <si>
    <t>Guará</t>
  </si>
  <si>
    <t>Faxinalzinho</t>
  </si>
  <si>
    <t>Guaraci</t>
  </si>
  <si>
    <t>Feliz</t>
  </si>
  <si>
    <t>Guarantã</t>
  </si>
  <si>
    <t>Flores da Cunha</t>
  </si>
  <si>
    <t>Guararapes</t>
  </si>
  <si>
    <t>Fortaleza dos Valos</t>
  </si>
  <si>
    <t>Guariba</t>
  </si>
  <si>
    <t>Frederico Westphalen</t>
  </si>
  <si>
    <t>Guatapará</t>
  </si>
  <si>
    <t>Garibaldi</t>
  </si>
  <si>
    <t>Herculândia</t>
  </si>
  <si>
    <t>Gaurama</t>
  </si>
  <si>
    <t>Hortolândia</t>
  </si>
  <si>
    <t>Gentil</t>
  </si>
  <si>
    <t>Iacanga</t>
  </si>
  <si>
    <t>Getúlio Vargas</t>
  </si>
  <si>
    <t>Ibaté</t>
  </si>
  <si>
    <t>Giruá</t>
  </si>
  <si>
    <t>Ibirá</t>
  </si>
  <si>
    <t>Glorinha</t>
  </si>
  <si>
    <t>Ibitinga</t>
  </si>
  <si>
    <t>Gramado</t>
  </si>
  <si>
    <t>Icém</t>
  </si>
  <si>
    <t>Gramado dos Loureiros</t>
  </si>
  <si>
    <t>Igaraçu do Tietê</t>
  </si>
  <si>
    <t>Gravataí</t>
  </si>
  <si>
    <t>Igarapava</t>
  </si>
  <si>
    <t>Guabiju</t>
  </si>
  <si>
    <t>Ipiguá</t>
  </si>
  <si>
    <t>Guaporé</t>
  </si>
  <si>
    <t>Ipuã</t>
  </si>
  <si>
    <t>Guarani das Missões</t>
  </si>
  <si>
    <t>Itaju</t>
  </si>
  <si>
    <t>Horizontina</t>
  </si>
  <si>
    <t>Itapira</t>
  </si>
  <si>
    <t>Humaitá</t>
  </si>
  <si>
    <t>Itápolis</t>
  </si>
  <si>
    <t>Ibiraiaras</t>
  </si>
  <si>
    <t>Itapuí</t>
  </si>
  <si>
    <t>Ibirapuitã</t>
  </si>
  <si>
    <t>Itatiba</t>
  </si>
  <si>
    <t>Ibirubá</t>
  </si>
  <si>
    <t>Itatinga</t>
  </si>
  <si>
    <t>Igrejinha</t>
  </si>
  <si>
    <t>Itirapuã</t>
  </si>
  <si>
    <t>Ijuí</t>
  </si>
  <si>
    <t>Ituverava</t>
  </si>
  <si>
    <t>Ilópolis</t>
  </si>
  <si>
    <t>Jaborandi</t>
  </si>
  <si>
    <t>Independência</t>
  </si>
  <si>
    <t>Jaboticabal</t>
  </si>
  <si>
    <t>Inhacorá</t>
  </si>
  <si>
    <t>Jaci</t>
  </si>
  <si>
    <t>Ipê</t>
  </si>
  <si>
    <t>Jardinópolis</t>
  </si>
  <si>
    <t>Ipiranga do Sul</t>
  </si>
  <si>
    <t>Jaú</t>
  </si>
  <si>
    <t>Iraí</t>
  </si>
  <si>
    <t>Jeriquara</t>
  </si>
  <si>
    <t>Itapuca</t>
  </si>
  <si>
    <t>José Bonifácio</t>
  </si>
  <si>
    <t>Itatiba do Sul</t>
  </si>
  <si>
    <t>Júlio Mesquita</t>
  </si>
  <si>
    <t>Jacutinga</t>
  </si>
  <si>
    <t>Lençóis Paulista</t>
  </si>
  <si>
    <t>Jaquirana</t>
  </si>
  <si>
    <t>Lindóia</t>
  </si>
  <si>
    <t>Jari</t>
  </si>
  <si>
    <t>Lins</t>
  </si>
  <si>
    <t>Jóia</t>
  </si>
  <si>
    <t>Lucianópolis</t>
  </si>
  <si>
    <t>Júlio de Castilhos</t>
  </si>
  <si>
    <t>Luís Antônio</t>
  </si>
  <si>
    <t>Lagoa dos Três Cantos</t>
  </si>
  <si>
    <t>Luiziânia</t>
  </si>
  <si>
    <t>Lagoa Vermelha</t>
  </si>
  <si>
    <t>Lupércio</t>
  </si>
  <si>
    <t>Lajeado do Bugre</t>
  </si>
  <si>
    <t>Macatuba</t>
  </si>
  <si>
    <t>Liberato Salzano</t>
  </si>
  <si>
    <t>Marília</t>
  </si>
  <si>
    <t>Linha Nova</t>
  </si>
  <si>
    <t>Matão</t>
  </si>
  <si>
    <t>Machadinho</t>
  </si>
  <si>
    <t>Miguelópolis</t>
  </si>
  <si>
    <t>Marau</t>
  </si>
  <si>
    <t>Mineiros do Tietê</t>
  </si>
  <si>
    <t>Marcelino Ramos</t>
  </si>
  <si>
    <t>Mirassol</t>
  </si>
  <si>
    <t>Mariano Moro</t>
  </si>
  <si>
    <t>Mirassolândia</t>
  </si>
  <si>
    <t>Maximiliano de Almeida</t>
  </si>
  <si>
    <t>Mombuca</t>
  </si>
  <si>
    <t>Miraguaí</t>
  </si>
  <si>
    <t>Monte Alegre do Sul</t>
  </si>
  <si>
    <t>Montauri</t>
  </si>
  <si>
    <t>Monte Alto</t>
  </si>
  <si>
    <t>Monte Alegre dos Campos</t>
  </si>
  <si>
    <t>Monte Aprazível</t>
  </si>
  <si>
    <t>Monte Belo do Sul</t>
  </si>
  <si>
    <t>Monte Azul Paulista</t>
  </si>
  <si>
    <t>Mormaço</t>
  </si>
  <si>
    <t>Monte Mor</t>
  </si>
  <si>
    <t>Muitos Capões</t>
  </si>
  <si>
    <t>Morro Agudo</t>
  </si>
  <si>
    <t>Muliterno</t>
  </si>
  <si>
    <t>Morungaba</t>
  </si>
  <si>
    <t>Não-Me-Toque</t>
  </si>
  <si>
    <t>Motuca</t>
  </si>
  <si>
    <t>Nonoai</t>
  </si>
  <si>
    <t>Neves Paulista</t>
  </si>
  <si>
    <t>Nova Alvorada</t>
  </si>
  <si>
    <t>Nova Europa</t>
  </si>
  <si>
    <t>Nova Araçá</t>
  </si>
  <si>
    <t>Nova Granada</t>
  </si>
  <si>
    <t>Nova Bassano</t>
  </si>
  <si>
    <t>Nova Odessa</t>
  </si>
  <si>
    <t>Nova Boa Vista</t>
  </si>
  <si>
    <t>Nuporanga</t>
  </si>
  <si>
    <t>Nova Candelária</t>
  </si>
  <si>
    <t>Ocauçu</t>
  </si>
  <si>
    <t>Nova Hartz</t>
  </si>
  <si>
    <t>Olímpia</t>
  </si>
  <si>
    <t>Nova Pádua</t>
  </si>
  <si>
    <t>Onda Verde</t>
  </si>
  <si>
    <t>Nova Palma</t>
  </si>
  <si>
    <t>Oriente</t>
  </si>
  <si>
    <t>Nova Petrópolis</t>
  </si>
  <si>
    <t>Orlândia</t>
  </si>
  <si>
    <t>Nova Prata</t>
  </si>
  <si>
    <t>Palestina</t>
  </si>
  <si>
    <t>Nova Roma do Sul</t>
  </si>
  <si>
    <t>Palmares Paulista</t>
  </si>
  <si>
    <t>Novo Barreiro</t>
  </si>
  <si>
    <t>Paraíso</t>
  </si>
  <si>
    <t>Novo Machado</t>
  </si>
  <si>
    <t>Pardinho</t>
  </si>
  <si>
    <t>Novo Xingu</t>
  </si>
  <si>
    <t>Patrocínio Paulista</t>
  </si>
  <si>
    <t>Paim Filho</t>
  </si>
  <si>
    <t>Paulínia</t>
  </si>
  <si>
    <t>Palmeira das Missões</t>
  </si>
  <si>
    <t>Paulistânia</t>
  </si>
  <si>
    <t>Palmitinho</t>
  </si>
  <si>
    <t>Pederneiras</t>
  </si>
  <si>
    <t>Paraí</t>
  </si>
  <si>
    <t>Pedregulho</t>
  </si>
  <si>
    <t>Parobé</t>
  </si>
  <si>
    <t>Penápolis</t>
  </si>
  <si>
    <t>Passo Fundo</t>
  </si>
  <si>
    <t>Piacatu</t>
  </si>
  <si>
    <t>Paulo Bento</t>
  </si>
  <si>
    <t>Pindorama</t>
  </si>
  <si>
    <t>Pejuçara</t>
  </si>
  <si>
    <t>Piracicaba</t>
  </si>
  <si>
    <t>Picada Café</t>
  </si>
  <si>
    <t>Pirajuí</t>
  </si>
  <si>
    <t>Pinhal da Serra</t>
  </si>
  <si>
    <t>Pirangi</t>
  </si>
  <si>
    <t>Pinhal Grande</t>
  </si>
  <si>
    <t>Pinheirinho do Vale</t>
  </si>
  <si>
    <t>Pitangueiras</t>
  </si>
  <si>
    <t>Pirapó</t>
  </si>
  <si>
    <t>Poloni</t>
  </si>
  <si>
    <t>Planalto</t>
  </si>
  <si>
    <t>Pompéia</t>
  </si>
  <si>
    <t>Ponte Preta</t>
  </si>
  <si>
    <t>Pongaí</t>
  </si>
  <si>
    <t>Porto Lucena</t>
  </si>
  <si>
    <t>Pontal</t>
  </si>
  <si>
    <t>Porto Mauá</t>
  </si>
  <si>
    <t>Potirendaba</t>
  </si>
  <si>
    <t>Porto Vera Cruz</t>
  </si>
  <si>
    <t>Pradópolis</t>
  </si>
  <si>
    <t>Porto Xavier</t>
  </si>
  <si>
    <t>Pratânia</t>
  </si>
  <si>
    <t>Protásio Alves</t>
  </si>
  <si>
    <t>Presidente Alves</t>
  </si>
  <si>
    <t>Putinga</t>
  </si>
  <si>
    <t>Promissão</t>
  </si>
  <si>
    <t>Quatro Irmãos</t>
  </si>
  <si>
    <t>Queiroz</t>
  </si>
  <si>
    <t>Quinze de Novembro</t>
  </si>
  <si>
    <t>Quintana</t>
  </si>
  <si>
    <t>Redentora</t>
  </si>
  <si>
    <t>Rafard</t>
  </si>
  <si>
    <t>Rio dos Índios</t>
  </si>
  <si>
    <t>Reginópolis</t>
  </si>
  <si>
    <t>Riozinho</t>
  </si>
  <si>
    <t>Restinga</t>
  </si>
  <si>
    <t>Rolador</t>
  </si>
  <si>
    <t>Ribeirão Bonito</t>
  </si>
  <si>
    <t>Rolante</t>
  </si>
  <si>
    <t>Ribeirão Corrente</t>
  </si>
  <si>
    <t>Ronda Alta</t>
  </si>
  <si>
    <t>Ribeirão Preto</t>
  </si>
  <si>
    <t>Rondinha</t>
  </si>
  <si>
    <t>Rifaina</t>
  </si>
  <si>
    <t>Roque Gonzales</t>
  </si>
  <si>
    <t>Rincão</t>
  </si>
  <si>
    <t>Sagrada Família</t>
  </si>
  <si>
    <t>Rio das Pedras</t>
  </si>
  <si>
    <t>Saldanha Marinho</t>
  </si>
  <si>
    <t>Rubiácea</t>
  </si>
  <si>
    <t>Salto do Jacuí</t>
  </si>
  <si>
    <t>Sabino</t>
  </si>
  <si>
    <t>Salvador das Missões</t>
  </si>
  <si>
    <t>Sales Oliveira</t>
  </si>
  <si>
    <t>Sananduva</t>
  </si>
  <si>
    <t>Saltinho</t>
  </si>
  <si>
    <t>Santa Bárbara do Sul</t>
  </si>
  <si>
    <t>Santa Adélia</t>
  </si>
  <si>
    <t>Santa Rosa</t>
  </si>
  <si>
    <t>Santa Bárbara d´Oeste</t>
  </si>
  <si>
    <t>Santa Tereza</t>
  </si>
  <si>
    <t>Santa Cruz da Esperança</t>
  </si>
  <si>
    <t>Santo Ângelo</t>
  </si>
  <si>
    <t>Santa Ernestina</t>
  </si>
  <si>
    <t>Santo Antônio da Patrulha</t>
  </si>
  <si>
    <t>Santa Lúcia</t>
  </si>
  <si>
    <t>Santo Antônio do Palma</t>
  </si>
  <si>
    <t>Santa Maria da Serra</t>
  </si>
  <si>
    <t>Santo Augusto</t>
  </si>
  <si>
    <t>Santa Rosa de Viterbo</t>
  </si>
  <si>
    <t>Santo Cristo</t>
  </si>
  <si>
    <t>Santo Antônio da Alegria</t>
  </si>
  <si>
    <t>Santo Expedito do Sul</t>
  </si>
  <si>
    <t>Santo Antônio do Aracanguá</t>
  </si>
  <si>
    <t>São Domingos do Sul</t>
  </si>
  <si>
    <t>Santo Antônio do Jardim</t>
  </si>
  <si>
    <t>São Francisco de Paula</t>
  </si>
  <si>
    <t>Santópolis do Aguapeí</t>
  </si>
  <si>
    <t>São João da Urtiga</t>
  </si>
  <si>
    <t>São Carlos</t>
  </si>
  <si>
    <t>São Jorge</t>
  </si>
  <si>
    <t>São Joaquim da Barra</t>
  </si>
  <si>
    <t>São José das Missões</t>
  </si>
  <si>
    <t>São José da Bela Vista</t>
  </si>
  <si>
    <t>São José do Inhacorá</t>
  </si>
  <si>
    <t>São José do Rio Preto</t>
  </si>
  <si>
    <t>São José do Ouro</t>
  </si>
  <si>
    <t>São Manuel</t>
  </si>
  <si>
    <t>São José dos Ausentes</t>
  </si>
  <si>
    <t>São Pedro</t>
  </si>
  <si>
    <t>São Luiz Gonzaga</t>
  </si>
  <si>
    <t>São Simão</t>
  </si>
  <si>
    <t>São Marcos</t>
  </si>
  <si>
    <t>Serra Azul</t>
  </si>
  <si>
    <t>São Martinho</t>
  </si>
  <si>
    <t>Serra Negra</t>
  </si>
  <si>
    <t>São Martinho da Serra</t>
  </si>
  <si>
    <t>Serrana</t>
  </si>
  <si>
    <t>São Nicolau</t>
  </si>
  <si>
    <t>Sertãozinho</t>
  </si>
  <si>
    <t>São Paulo das Missões</t>
  </si>
  <si>
    <t>Severínia</t>
  </si>
  <si>
    <t>São Pedro das Missões</t>
  </si>
  <si>
    <t>Socorro</t>
  </si>
  <si>
    <t>São Pedro do Butiá</t>
  </si>
  <si>
    <t>Sumaré</t>
  </si>
  <si>
    <t>São Valentim</t>
  </si>
  <si>
    <t>Tabatinga</t>
  </si>
  <si>
    <t>São Valentim do Sul</t>
  </si>
  <si>
    <t>Taiaçu</t>
  </si>
  <si>
    <t>São Valério do Sul</t>
  </si>
  <si>
    <t>Taiúva</t>
  </si>
  <si>
    <t>Sapucaia do Sul</t>
  </si>
  <si>
    <t>Tanabi</t>
  </si>
  <si>
    <t>Sarandi</t>
  </si>
  <si>
    <t>Taquaral</t>
  </si>
  <si>
    <t>Seberi</t>
  </si>
  <si>
    <t>Taquaritinga</t>
  </si>
  <si>
    <t>Sede Nova</t>
  </si>
  <si>
    <t>Terra Roxa</t>
  </si>
  <si>
    <t>Selbach</t>
  </si>
  <si>
    <t>Torrinha</t>
  </si>
  <si>
    <t>Senador Salgado Filho</t>
  </si>
  <si>
    <t>Trabiju</t>
  </si>
  <si>
    <t>Serafina Corrêa</t>
  </si>
  <si>
    <t>Ubarana</t>
  </si>
  <si>
    <t>Sertão</t>
  </si>
  <si>
    <t>Uchoa</t>
  </si>
  <si>
    <t>Sete de Setembro</t>
  </si>
  <si>
    <t>Uru</t>
  </si>
  <si>
    <t>Severiano de Almeida</t>
  </si>
  <si>
    <t>Valinhos</t>
  </si>
  <si>
    <t>Soledade</t>
  </si>
  <si>
    <t>Valparaíso</t>
  </si>
  <si>
    <t>Tapejara</t>
  </si>
  <si>
    <t>Vera Cruz</t>
  </si>
  <si>
    <t>Tapera</t>
  </si>
  <si>
    <t>Viradouro</t>
  </si>
  <si>
    <t>Taquara</t>
  </si>
  <si>
    <t>Vista Alegre do Alto</t>
  </si>
  <si>
    <t>Taquaruçu do Sul</t>
  </si>
  <si>
    <t>Tenente Portela</t>
  </si>
  <si>
    <t>Tio Hugo</t>
  </si>
  <si>
    <t>Tiradentes do Sul</t>
  </si>
  <si>
    <t>Três Arroios</t>
  </si>
  <si>
    <t>Três Coroas</t>
  </si>
  <si>
    <t>Três de Maio</t>
  </si>
  <si>
    <t>Três Palmeiras</t>
  </si>
  <si>
    <t>Três Passos</t>
  </si>
  <si>
    <t>Trindade do Sul</t>
  </si>
  <si>
    <t>Tucunduva</t>
  </si>
  <si>
    <t>Tupanci do Sul</t>
  </si>
  <si>
    <t>Tupanciretã</t>
  </si>
  <si>
    <t>Tuparendi</t>
  </si>
  <si>
    <t>Ubiretama</t>
  </si>
  <si>
    <t>União da Serra</t>
  </si>
  <si>
    <t>Vacaria</t>
  </si>
  <si>
    <t>Vale Real</t>
  </si>
  <si>
    <t>Vanini</t>
  </si>
  <si>
    <t>Veranópolis</t>
  </si>
  <si>
    <t>Viadutos</t>
  </si>
  <si>
    <t>Vicente Dutra</t>
  </si>
  <si>
    <t>Victor Graeff</t>
  </si>
  <si>
    <t>Vila Flores</t>
  </si>
  <si>
    <t>Vila Maria</t>
  </si>
  <si>
    <t>Vista Alegre</t>
  </si>
  <si>
    <t>Vista Alegre do Prata</t>
  </si>
  <si>
    <t>Vista Gaúcha</t>
  </si>
  <si>
    <t>Vitória das Missões</t>
  </si>
  <si>
    <t>Agudo</t>
  </si>
  <si>
    <t>Alegrete</t>
  </si>
  <si>
    <t>Araricá</t>
  </si>
  <si>
    <t>Arroio do Meio</t>
  </si>
  <si>
    <t>Arroio do Tigre</t>
  </si>
  <si>
    <t>Barra do Quaraí</t>
  </si>
  <si>
    <t>Bom Princípio</t>
  </si>
  <si>
    <t>Bom Retiro do Sul</t>
  </si>
  <si>
    <t>Boqueirão do Leão</t>
  </si>
  <si>
    <t>Bossoroca</t>
  </si>
  <si>
    <t>Brochier</t>
  </si>
  <si>
    <t>Caçapava do Sul</t>
  </si>
  <si>
    <t>Cacequi</t>
  </si>
  <si>
    <t>Cachoeira do Sul</t>
  </si>
  <si>
    <t>Campo Bom</t>
  </si>
  <si>
    <t>Candelária</t>
  </si>
  <si>
    <t>Canoas</t>
  </si>
  <si>
    <t>Capão do Cipó</t>
  </si>
  <si>
    <t>Capela de Santana</t>
  </si>
  <si>
    <t>Capitão</t>
  </si>
  <si>
    <t>Cerro Branco</t>
  </si>
  <si>
    <t>Colinas</t>
  </si>
  <si>
    <t>Coqueiro Baixo</t>
  </si>
  <si>
    <t>Cruzeiro do Sul</t>
  </si>
  <si>
    <t>Dilermando de Aguiar</t>
  </si>
  <si>
    <t>Dois Irmãos</t>
  </si>
  <si>
    <t>Doutor Ricardo</t>
  </si>
  <si>
    <t>Encantado</t>
  </si>
  <si>
    <t>Encruzilhada do Sul</t>
  </si>
  <si>
    <t>Estância Velha</t>
  </si>
  <si>
    <t>Esteio</t>
  </si>
  <si>
    <t>Estrela</t>
  </si>
  <si>
    <t>Faxinal do Soturno</t>
  </si>
  <si>
    <t>Fazenda Vilanova</t>
  </si>
  <si>
    <t>Floriano Peixoto</t>
  </si>
  <si>
    <t>Formigueiro</t>
  </si>
  <si>
    <t>Garruchos</t>
  </si>
  <si>
    <t>General Câmara</t>
  </si>
  <si>
    <t>Gramado Xavier</t>
  </si>
  <si>
    <t>Harmonia</t>
  </si>
  <si>
    <t>Herveiras</t>
  </si>
  <si>
    <t>Ibarama</t>
  </si>
  <si>
    <t>Imigrante</t>
  </si>
  <si>
    <t>Itaara</t>
  </si>
  <si>
    <t>Itacurubi</t>
  </si>
  <si>
    <t>Itaqui</t>
  </si>
  <si>
    <t>Ivorá</t>
  </si>
  <si>
    <t>Ivoti</t>
  </si>
  <si>
    <t>Jaguari</t>
  </si>
  <si>
    <t>Lagoa Bonita do Sul</t>
  </si>
  <si>
    <t>Lagoão</t>
  </si>
  <si>
    <t>Lajeado</t>
  </si>
  <si>
    <t>Lindolfo Collor</t>
  </si>
  <si>
    <t>Maçambara</t>
  </si>
  <si>
    <t>Manoel Viana</t>
  </si>
  <si>
    <t>Maratá</t>
  </si>
  <si>
    <t>Mata</t>
  </si>
  <si>
    <t>Mato Leitão</t>
  </si>
  <si>
    <t>Minas do Leão</t>
  </si>
  <si>
    <t>Montenegro</t>
  </si>
  <si>
    <t>Morro Reuter</t>
  </si>
  <si>
    <t>Muçum</t>
  </si>
  <si>
    <t>Nova Bréscia</t>
  </si>
  <si>
    <t>Nova Esperança do Sul</t>
  </si>
  <si>
    <t>Nova Santa Rita</t>
  </si>
  <si>
    <t>Novo Cabrais</t>
  </si>
  <si>
    <t>Novo Hamburgo</t>
  </si>
  <si>
    <t>Paraíso do Sul</t>
  </si>
  <si>
    <t>Pareci Novo</t>
  </si>
  <si>
    <t>Passa Sete</t>
  </si>
  <si>
    <t>Passo do Sobrado</t>
  </si>
  <si>
    <t>Paverama</t>
  </si>
  <si>
    <t>Portão</t>
  </si>
  <si>
    <t>Presidente Lucena</t>
  </si>
  <si>
    <t>Quaraí</t>
  </si>
  <si>
    <t>Quevedos</t>
  </si>
  <si>
    <t>Relvado</t>
  </si>
  <si>
    <t>Restinga Seca</t>
  </si>
  <si>
    <t>Rio Pardo</t>
  </si>
  <si>
    <t>Roca Sales</t>
  </si>
  <si>
    <t>Rosário do Sul</t>
  </si>
  <si>
    <t>Salvador do Sul</t>
  </si>
  <si>
    <t>Santa Clara do Sul</t>
  </si>
  <si>
    <t>Santa Cruz do Sul</t>
  </si>
  <si>
    <t>Santa Margarida do Sul</t>
  </si>
  <si>
    <t>Santa Maria</t>
  </si>
  <si>
    <t>Santa Maria do Herval</t>
  </si>
  <si>
    <t>Santana da Boa Vista</t>
  </si>
  <si>
    <t>SANT'ANA DO LIVRAMENTO</t>
  </si>
  <si>
    <t>Santiago</t>
  </si>
  <si>
    <t>Santo Antônio das Missões</t>
  </si>
  <si>
    <t>São Borja</t>
  </si>
  <si>
    <t>São Francisco de Assis</t>
  </si>
  <si>
    <t>São Gabriel</t>
  </si>
  <si>
    <t>São João do Polêsine</t>
  </si>
  <si>
    <t>São José do Hortêncio</t>
  </si>
  <si>
    <t>São José do Sul</t>
  </si>
  <si>
    <t>São Leopoldo</t>
  </si>
  <si>
    <t>São Miguel das Missões</t>
  </si>
  <si>
    <t>São Pedro do Sul</t>
  </si>
  <si>
    <t>São Sebastião do Caí</t>
  </si>
  <si>
    <t>São Sepé</t>
  </si>
  <si>
    <t>São Vendelino</t>
  </si>
  <si>
    <t>São Vicente do Sul</t>
  </si>
  <si>
    <t>Sapiranga</t>
  </si>
  <si>
    <t>Segredo</t>
  </si>
  <si>
    <t>Sério</t>
  </si>
  <si>
    <t>Sinimbu</t>
  </si>
  <si>
    <t>Sobradinho</t>
  </si>
  <si>
    <t>Tabaí</t>
  </si>
  <si>
    <t>Taquari</t>
  </si>
  <si>
    <t>Teutônia</t>
  </si>
  <si>
    <t>Toropi</t>
  </si>
  <si>
    <t>Travesseiro</t>
  </si>
  <si>
    <t>Triunfo</t>
  </si>
  <si>
    <t>Tunas</t>
  </si>
  <si>
    <t>Tupandi</t>
  </si>
  <si>
    <t>Unistalda</t>
  </si>
  <si>
    <t>Uruguaiana</t>
  </si>
  <si>
    <t>Vale do Sol</t>
  </si>
  <si>
    <t>Vale Verde</t>
  </si>
  <si>
    <t>Venâncio Aires</t>
  </si>
  <si>
    <t>Vespasiano Correa</t>
  </si>
  <si>
    <t>Vila Nova do Sul</t>
  </si>
  <si>
    <t>MG - ABADIA DOS DOURADOS</t>
  </si>
  <si>
    <t>MG - ABAETÉ</t>
  </si>
  <si>
    <t>MG - ABRE CAMPO</t>
  </si>
  <si>
    <t>MG - ACAIACA</t>
  </si>
  <si>
    <t>MG - AÇUCENA</t>
  </si>
  <si>
    <t>MG - ÁGUA BOA</t>
  </si>
  <si>
    <t>MG - ÁGUA COMPRIDA</t>
  </si>
  <si>
    <t>MG - AGUANIL</t>
  </si>
  <si>
    <t>MG - ÁGUAS FORMOSAS</t>
  </si>
  <si>
    <t>MG - ÁGUAS VERMELHAS</t>
  </si>
  <si>
    <t>MG - AIMORÉS</t>
  </si>
  <si>
    <t>MG - AIURUOCA</t>
  </si>
  <si>
    <t>MG - ALAGOA</t>
  </si>
  <si>
    <t>MG - ALBERTINA</t>
  </si>
  <si>
    <t>MG - ALÉM PARAÍBA</t>
  </si>
  <si>
    <t>MG - ALFENAS</t>
  </si>
  <si>
    <t>MG - ALFREDO VASCONCELOS</t>
  </si>
  <si>
    <t>MG - ALMENARA</t>
  </si>
  <si>
    <t>MG - ALPERCATA</t>
  </si>
  <si>
    <t>MG - ALPINÓPOLIS</t>
  </si>
  <si>
    <t>MG - ALTEROSA</t>
  </si>
  <si>
    <t>MG - ALTO CAPARAÓ</t>
  </si>
  <si>
    <t>MG - ALTO JEQUITIBÁ</t>
  </si>
  <si>
    <t>MG - ALTO RIO DOCE</t>
  </si>
  <si>
    <t>MG - ALVARENGA</t>
  </si>
  <si>
    <t>MG - ALVINÓPOLIS</t>
  </si>
  <si>
    <t>MG - ALVORADA DE MINAS</t>
  </si>
  <si>
    <t>MG - AMPARO DO SERRA</t>
  </si>
  <si>
    <t>MG - ANDRADAS</t>
  </si>
  <si>
    <t>MG - ANDRELÂNDIA</t>
  </si>
  <si>
    <t>MG - ANGELÂNDIA</t>
  </si>
  <si>
    <t>MG - ANTÔNIO CARLOS</t>
  </si>
  <si>
    <t>MG - ANTÔNIO DIAS</t>
  </si>
  <si>
    <t>MG - ANTÔNIO PRADO DE MINAS</t>
  </si>
  <si>
    <t>MG - ARAÇAÍ</t>
  </si>
  <si>
    <t>MG - ARACITABA</t>
  </si>
  <si>
    <t>MG - ARAÇUAÍ</t>
  </si>
  <si>
    <t>MG - ARAGUARI</t>
  </si>
  <si>
    <t>MG - ARANTINA</t>
  </si>
  <si>
    <t>MG - ARAPONGA</t>
  </si>
  <si>
    <t>MG - ARAPORÃ</t>
  </si>
  <si>
    <t>MG - ARAPUÁ</t>
  </si>
  <si>
    <t>MG - ARAÚJOS</t>
  </si>
  <si>
    <t>MG - ARAXÁ</t>
  </si>
  <si>
    <t>MG - ARCEBURGO</t>
  </si>
  <si>
    <t>MG - ARCOS</t>
  </si>
  <si>
    <t>MG - AREADO</t>
  </si>
  <si>
    <t>MG - ARGIRITA</t>
  </si>
  <si>
    <t>MG - ARICANDUVA</t>
  </si>
  <si>
    <t>MG - ARINOS</t>
  </si>
  <si>
    <t>MG - ASTOLFO DUTRA</t>
  </si>
  <si>
    <t>MG - ATALÉIA</t>
  </si>
  <si>
    <t>MG - AUGUSTO DE LIMA</t>
  </si>
  <si>
    <t>MG - BAEPENDI</t>
  </si>
  <si>
    <t>MG - BALDIM</t>
  </si>
  <si>
    <t>MG - BAMBUÍ</t>
  </si>
  <si>
    <t>MG - BANDEIRA</t>
  </si>
  <si>
    <t>MG - BANDEIRA DO SUL</t>
  </si>
  <si>
    <t>MG - BARÃO DE COCAIS</t>
  </si>
  <si>
    <t>MG - BARÃO DE MONTE ALTO</t>
  </si>
  <si>
    <t>MG - BARBACENA</t>
  </si>
  <si>
    <t>MG - BARRA LONGA</t>
  </si>
  <si>
    <t>MG - BARROSO</t>
  </si>
  <si>
    <t>MG - BELA VISTA DE MINAS</t>
  </si>
  <si>
    <t>MG - BELMIRO BRAGA</t>
  </si>
  <si>
    <t>MG - BELO HORIZONTE</t>
  </si>
  <si>
    <t>MG - BELO ORIENTE</t>
  </si>
  <si>
    <t>MG - BELO VALE</t>
  </si>
  <si>
    <t>MG - BERILO</t>
  </si>
  <si>
    <t>MG - BERIZAL</t>
  </si>
  <si>
    <t>MG - BERTÓPOLIS</t>
  </si>
  <si>
    <t>MG - BETIM</t>
  </si>
  <si>
    <t>MG - BIAS FORTES</t>
  </si>
  <si>
    <t>MG - BICAS</t>
  </si>
  <si>
    <t>MG - BIQUINHAS</t>
  </si>
  <si>
    <t>MG - BOA ESPERANÇA</t>
  </si>
  <si>
    <t>MG - BOCAINA DE MINAS</t>
  </si>
  <si>
    <t>MG - BOCAIÚVA</t>
  </si>
  <si>
    <t>MG - BOM DESPACHO</t>
  </si>
  <si>
    <t>MG - BOM JARDIM DE MINAS</t>
  </si>
  <si>
    <t>MG - BOM JESUS DA PENHA</t>
  </si>
  <si>
    <t>MG - BOM JESUS DO AMPARO</t>
  </si>
  <si>
    <t>MG - BOM JESUS DO GALHO</t>
  </si>
  <si>
    <t>MG - BOM REPOUSO</t>
  </si>
  <si>
    <t>MG - BOM SUCESSO</t>
  </si>
  <si>
    <t>MG - BONFIM</t>
  </si>
  <si>
    <t>MG - BONFINÓPOLIS DE MINAS</t>
  </si>
  <si>
    <t>MG - BONITO DE MINAS</t>
  </si>
  <si>
    <t>MG - BORDA DA MATA</t>
  </si>
  <si>
    <t>MG - BOTELHOS</t>
  </si>
  <si>
    <t>MG - BOTUMIRIM</t>
  </si>
  <si>
    <t>MG - BRÁS PIRES</t>
  </si>
  <si>
    <t>MG - BRASILÂNDIA DE MINAS</t>
  </si>
  <si>
    <t>MG - BRASÍLIA DE MINAS</t>
  </si>
  <si>
    <t>MG - BRASÓPOLIS</t>
  </si>
  <si>
    <t>MG - BRAÚNAS</t>
  </si>
  <si>
    <t>MG - BRUMADINHO</t>
  </si>
  <si>
    <t>MG - BUENO BRANDÃO</t>
  </si>
  <si>
    <t>MG - BUENÓPOLIS</t>
  </si>
  <si>
    <t>MG - BUGRE</t>
  </si>
  <si>
    <t>MG - BURITIS</t>
  </si>
  <si>
    <t>MG - BURITIZEIRO</t>
  </si>
  <si>
    <t>MG - CABECEIRA GRANDE</t>
  </si>
  <si>
    <t>MG - CABO VERDE</t>
  </si>
  <si>
    <t>MG - CACHOEIRA DA PRATA</t>
  </si>
  <si>
    <t>MG - CACHOEIRA DE MINAS</t>
  </si>
  <si>
    <t>MG - CACHOEIRA DE PAJEÚ</t>
  </si>
  <si>
    <t>MG - CACHOEIRA DOURADA</t>
  </si>
  <si>
    <t>MG - CAETANÓPOLIS</t>
  </si>
  <si>
    <t>MG - CAETÉ</t>
  </si>
  <si>
    <t>MG - CAIANA</t>
  </si>
  <si>
    <t>MG - CAJURI</t>
  </si>
  <si>
    <t>MG - CALDAS</t>
  </si>
  <si>
    <t>MG - CAMACHO</t>
  </si>
  <si>
    <t>MG - CAMANDUCAIA</t>
  </si>
  <si>
    <t>MG - CAMBUÍ</t>
  </si>
  <si>
    <t>MG - CAMBUQUIRA</t>
  </si>
  <si>
    <t>MG - CAMPANÁRIO</t>
  </si>
  <si>
    <t>MG - CAMPANHA</t>
  </si>
  <si>
    <t>MG - CAMPESTRE</t>
  </si>
  <si>
    <t>MG - CAMPINA VERDE</t>
  </si>
  <si>
    <t>MG - CAMPO AZUL</t>
  </si>
  <si>
    <t>MG - CAMPO BELO</t>
  </si>
  <si>
    <t>MG - CAMPO DO MEIO</t>
  </si>
  <si>
    <t>MG - CAMPO FLORIDO</t>
  </si>
  <si>
    <t>MG - CAMPOS ALTOS</t>
  </si>
  <si>
    <t>MG - CAMPOS GERAIS</t>
  </si>
  <si>
    <t>MG - CANA VERDE</t>
  </si>
  <si>
    <t>MG - CANAÃ</t>
  </si>
  <si>
    <t>MG - CANÁPOLIS</t>
  </si>
  <si>
    <t>MG - CANDEIAS</t>
  </si>
  <si>
    <t>MG - CANTAGALO</t>
  </si>
  <si>
    <t>MG - CAPARAÓ</t>
  </si>
  <si>
    <t>MG - CAPELA NOVA</t>
  </si>
  <si>
    <t>MG - CAPELINHA</t>
  </si>
  <si>
    <t>MG - CAPETINGA</t>
  </si>
  <si>
    <t>MG - CAPIM BRANCO</t>
  </si>
  <si>
    <t>MG - CAPINÓPOLIS</t>
  </si>
  <si>
    <t>MG - CAPITÃO ANDRADE</t>
  </si>
  <si>
    <t>MG - CAPITÃO ENÉAS</t>
  </si>
  <si>
    <t>MG - CAPITÓLIO</t>
  </si>
  <si>
    <t>MG - CAPUTIRA</t>
  </si>
  <si>
    <t>MG - CARAÍ</t>
  </si>
  <si>
    <t>MG - CARANAÍBA</t>
  </si>
  <si>
    <t>MG - CARANDAÍ</t>
  </si>
  <si>
    <t>MG - CARANGOLA</t>
  </si>
  <si>
    <t>MG - CARATINGA</t>
  </si>
  <si>
    <t>MG - CARBONITA</t>
  </si>
  <si>
    <t>MG - CAREAÇU</t>
  </si>
  <si>
    <t>MG - CARLOS CHAGAS</t>
  </si>
  <si>
    <t>MG - CARMÉSIA</t>
  </si>
  <si>
    <t>MG - CARMO DA CACHOEIRA</t>
  </si>
  <si>
    <t>MG - CARMO DA MATA</t>
  </si>
  <si>
    <t>MG - CARMO DE MINAS</t>
  </si>
  <si>
    <t>MG - CARMO DO CAJURU</t>
  </si>
  <si>
    <t>MG - CARMO DO PARANAÍBA</t>
  </si>
  <si>
    <t>MG - CARMO DO RIO CLARO</t>
  </si>
  <si>
    <t>MG - CARMÓPOLIS DE MINAS</t>
  </si>
  <si>
    <t>MG - CARNEIRINHO</t>
  </si>
  <si>
    <t>MG - CARRANCAS</t>
  </si>
  <si>
    <t>MG - CARVALHÓPOLIS</t>
  </si>
  <si>
    <t>MG - CARVALHOS</t>
  </si>
  <si>
    <t>MG - CASA GRANDE</t>
  </si>
  <si>
    <t>MG - CASCALHO RICO</t>
  </si>
  <si>
    <t>MG - CÁSSIA</t>
  </si>
  <si>
    <t>MG - CATAGUASES</t>
  </si>
  <si>
    <t>MG - CATAS ALTAS</t>
  </si>
  <si>
    <t>MG - CATAS ALTAS DA NORUEGA</t>
  </si>
  <si>
    <t>MG - CATUJI</t>
  </si>
  <si>
    <t>MG - CATUTI</t>
  </si>
  <si>
    <t>MG - CAXAMBU</t>
  </si>
  <si>
    <t>MG - CEDRO DO ABAETÉ</t>
  </si>
  <si>
    <t>MG - CENTRAL DE MINAS</t>
  </si>
  <si>
    <t>MG - CENTRALINA</t>
  </si>
  <si>
    <t>MG - CHÁCARA</t>
  </si>
  <si>
    <t>MG - CHALÉ</t>
  </si>
  <si>
    <t>MG - CHAPADA DO NORTE</t>
  </si>
  <si>
    <t>MG - CHAPADA GAÚCHA</t>
  </si>
  <si>
    <t>MG - CHIADOR</t>
  </si>
  <si>
    <t>MG - CIPOTÂNEA</t>
  </si>
  <si>
    <t>MG - CLARAVAL</t>
  </si>
  <si>
    <t>MG - CLARO DOS POÇÕES</t>
  </si>
  <si>
    <t>MG - CLÁUDIO</t>
  </si>
  <si>
    <t>MG - COIMBRA</t>
  </si>
  <si>
    <t>MG - COLUNA</t>
  </si>
  <si>
    <t>MG - COMENDADOR GOMES</t>
  </si>
  <si>
    <t>MG - COMERCINHO</t>
  </si>
  <si>
    <t>MG - CONCEIÇÃO DA APARECIDA</t>
  </si>
  <si>
    <t>MG - CONCEIÇÃO DA BARRA DE MINAS</t>
  </si>
  <si>
    <t>MG - CONCEIÇÃO DAS ALAGOAS</t>
  </si>
  <si>
    <t>MG - CONCEIÇÃO DAS PEDRAS</t>
  </si>
  <si>
    <t>MG - CONCEIÇÃO DE IPANEMA</t>
  </si>
  <si>
    <t>MG - CONCEIÇÃO DO MATO DENTRO</t>
  </si>
  <si>
    <t>MG - CONCEIÇÃO DO PARÁ</t>
  </si>
  <si>
    <t>MG - CONCEIÇÃO DO RIO VERDE</t>
  </si>
  <si>
    <t>MG - CONCEIÇÃO DOS OUROS</t>
  </si>
  <si>
    <t>MG - CÔNEGO MARINHO</t>
  </si>
  <si>
    <t>MG - CONFINS</t>
  </si>
  <si>
    <t>MG - CONGONHAL</t>
  </si>
  <si>
    <t>MG - CONGONHAS</t>
  </si>
  <si>
    <t>MG - CONGONHAS DO NORTE</t>
  </si>
  <si>
    <t>MG - CONQUISTA</t>
  </si>
  <si>
    <t>MG - CONSELHEIRO LAFAIETE</t>
  </si>
  <si>
    <t>MG - CONSELHEIRO PENA</t>
  </si>
  <si>
    <t>MG - CONSOLAÇÃO</t>
  </si>
  <si>
    <t>MG - CONTAGEM</t>
  </si>
  <si>
    <t>MG - COQUEIRAL</t>
  </si>
  <si>
    <t>MG - CORAÇÃO DE JESUS</t>
  </si>
  <si>
    <t>MG - CORDISBURGO</t>
  </si>
  <si>
    <t>MG - CORDISLÂNDIA</t>
  </si>
  <si>
    <t>MG - CORINTO</t>
  </si>
  <si>
    <t>MG - COROACI</t>
  </si>
  <si>
    <t>MG - COROMANDEL</t>
  </si>
  <si>
    <t>MG - CORONEL FABRICIANO</t>
  </si>
  <si>
    <t>MG - CORONEL MURTA</t>
  </si>
  <si>
    <t>MG - CORONEL PACHECO</t>
  </si>
  <si>
    <t>MG - CORONEL XAVIER CHAVES</t>
  </si>
  <si>
    <t>MG - CÓRREGO DANTA</t>
  </si>
  <si>
    <t>MG - CÓRREGO DO BOM JESUS</t>
  </si>
  <si>
    <t>MG - CÓRREGO FUNDO</t>
  </si>
  <si>
    <t>MG - CÓRREGO NOVO</t>
  </si>
  <si>
    <t>MG - COUTO DE MAGALHÃES DE MINAS</t>
  </si>
  <si>
    <t>MG - CRISÓLITA</t>
  </si>
  <si>
    <t>MG - CRISTAIS</t>
  </si>
  <si>
    <t>MG - CRISTÁLIA</t>
  </si>
  <si>
    <t>MG - CRISTIANO OTONI</t>
  </si>
  <si>
    <t>MG - CRISTINA</t>
  </si>
  <si>
    <t>MG - CRUCILÂNDIA</t>
  </si>
  <si>
    <t>MG - CRUZEIRO DA FORTALEZA</t>
  </si>
  <si>
    <t>MG - CRUZÍLIA</t>
  </si>
  <si>
    <t>MG - CUPARAQUE</t>
  </si>
  <si>
    <t>MG - CURRAL DE DENTRO</t>
  </si>
  <si>
    <t>MG - CURVELO</t>
  </si>
  <si>
    <t>MG - DATAS</t>
  </si>
  <si>
    <t>MG - DELFIM MOREIRA</t>
  </si>
  <si>
    <t>MG - DELFINÓPOLIS</t>
  </si>
  <si>
    <t>MG - DELTA</t>
  </si>
  <si>
    <t>MG - DESCOBERTO</t>
  </si>
  <si>
    <t>MG - DESTERRO DE ENTRE RIOS</t>
  </si>
  <si>
    <t>MG - DESTERRO DO MELO</t>
  </si>
  <si>
    <t>MG - DIAMANTINA</t>
  </si>
  <si>
    <t>MG - DIOGO DE VASCONCELOS</t>
  </si>
  <si>
    <t>MG - DIONÍSIO</t>
  </si>
  <si>
    <t>MG - DIVINÉSIA</t>
  </si>
  <si>
    <t>MG - DIVINO</t>
  </si>
  <si>
    <t>MG - DIVINO DAS LARANJEIRAS</t>
  </si>
  <si>
    <t>MG - DIVINOLÂNDIA DE MINAS</t>
  </si>
  <si>
    <t>MG - DIVINÓPOLIS</t>
  </si>
  <si>
    <t>MG - DIVISA ALEGRE</t>
  </si>
  <si>
    <t>MG - DIVISA NOVA</t>
  </si>
  <si>
    <t>MG - DIVISÓPOLIS</t>
  </si>
  <si>
    <t>MG - DOM BOSCO</t>
  </si>
  <si>
    <t>MG - DOM CAVATI</t>
  </si>
  <si>
    <t>MG - DOM JOAQUIM</t>
  </si>
  <si>
    <t>MG - DOM SILVÉRIO</t>
  </si>
  <si>
    <t>MG - DOM VIÇOSO</t>
  </si>
  <si>
    <t>MG - DONA EUSÉBIA</t>
  </si>
  <si>
    <t>MG - DORES DE CAMPOS</t>
  </si>
  <si>
    <t>MG - DORES DE GUANHÃES</t>
  </si>
  <si>
    <t>MG - DORES DO INDAIÁ</t>
  </si>
  <si>
    <t>MG - DORES DO TURVO</t>
  </si>
  <si>
    <t>MG - DORESÓPOLIS</t>
  </si>
  <si>
    <t>MG - DOURADOQUARA</t>
  </si>
  <si>
    <t>MG - DURANDÉ</t>
  </si>
  <si>
    <t>MG - ELÓI MENDES</t>
  </si>
  <si>
    <t>MG - ENGENHEIRO CALDAS</t>
  </si>
  <si>
    <t>MG - ENGENHEIRO NAVARRO</t>
  </si>
  <si>
    <t>MG - ENTRE FOLHAS</t>
  </si>
  <si>
    <t>MG - ENTRE RIOS DE MINAS</t>
  </si>
  <si>
    <t>MG - ERVÁLIA</t>
  </si>
  <si>
    <t>MG - ESMERALDAS</t>
  </si>
  <si>
    <t>MG - ESPERA FELIZ</t>
  </si>
  <si>
    <t>MG - ESPINOSA</t>
  </si>
  <si>
    <t>MG - ESPÍRITO SANTO DO DOURADO</t>
  </si>
  <si>
    <t>MG - ESTIVA</t>
  </si>
  <si>
    <t>MG - ESTRELA DALVA</t>
  </si>
  <si>
    <t>MG - ESTRELA DO INDAIÁ</t>
  </si>
  <si>
    <t>MG - ESTRELA DO SUL</t>
  </si>
  <si>
    <t>MG - EUGENÓPOLIS</t>
  </si>
  <si>
    <t>MG - EWBANK DA CÂMARA</t>
  </si>
  <si>
    <t>MG - EXTREMA</t>
  </si>
  <si>
    <t>MG - FAMA</t>
  </si>
  <si>
    <t>MG - FARIA LEMOS</t>
  </si>
  <si>
    <t>MG - FELÍCIO DOS SANTOS</t>
  </si>
  <si>
    <t>MG - FELISBURGO</t>
  </si>
  <si>
    <t>MG - FELIXLÂNDIA</t>
  </si>
  <si>
    <t>MG - FERNANDES TOURINHO</t>
  </si>
  <si>
    <t>MG - FERROS</t>
  </si>
  <si>
    <t>MG - FERVEDOURO</t>
  </si>
  <si>
    <t>MG - FLORESTAL</t>
  </si>
  <si>
    <t>MG - FORMIGA</t>
  </si>
  <si>
    <t>MG - FORMOSO</t>
  </si>
  <si>
    <t>MG - FORTALEZA DE MINAS</t>
  </si>
  <si>
    <t>MG - FORTUNA DE MINAS</t>
  </si>
  <si>
    <t>MG - FRANCISCO BADARÓ</t>
  </si>
  <si>
    <t>MG - FRANCISCO DUMONT</t>
  </si>
  <si>
    <t>MG - FRANCISCO SÁ</t>
  </si>
  <si>
    <t>MG - FRANCISCÓPOLIS</t>
  </si>
  <si>
    <t>MG - FREI GASPAR</t>
  </si>
  <si>
    <t>MG - FREI INOCÊNCIO</t>
  </si>
  <si>
    <t>MG - FREI LAGONEGRO</t>
  </si>
  <si>
    <t>MG - FRONTEIRA</t>
  </si>
  <si>
    <t>MG - FRONTEIRA DOS VALES</t>
  </si>
  <si>
    <t>MG - FRUTA DE LEITE</t>
  </si>
  <si>
    <t>MG - FRUTAL</t>
  </si>
  <si>
    <t>MG - FUNILÂNDIA</t>
  </si>
  <si>
    <t>MG - GALILÉIA</t>
  </si>
  <si>
    <t>MG - GAMELEIRAS</t>
  </si>
  <si>
    <t>MG - GLAUCILÂNDIA</t>
  </si>
  <si>
    <t>MG - GOIABEIRA</t>
  </si>
  <si>
    <t>MG - GOIANÁ</t>
  </si>
  <si>
    <t>MG - GONÇALVES</t>
  </si>
  <si>
    <t>MG - GONZAGA</t>
  </si>
  <si>
    <t>MG - GOUVEIA</t>
  </si>
  <si>
    <t>MG - GOVERNADOR VALADARES</t>
  </si>
  <si>
    <t>MG - GRÃO MOGOL</t>
  </si>
  <si>
    <t>MG - GRUPIARA</t>
  </si>
  <si>
    <t>MG - GUANHÃES</t>
  </si>
  <si>
    <t>MG - GUAPÉ</t>
  </si>
  <si>
    <t>MG - GUARACIABA</t>
  </si>
  <si>
    <t>MG - GUARACIAMA</t>
  </si>
  <si>
    <t>MG - GUARANÉSIA</t>
  </si>
  <si>
    <t>MG - GUARANI</t>
  </si>
  <si>
    <t>MG - GUARARÁ</t>
  </si>
  <si>
    <t>MG - GUARDA-MOR</t>
  </si>
  <si>
    <t>MG - GUAXUPÉ</t>
  </si>
  <si>
    <t>MG - GUIDOVAL</t>
  </si>
  <si>
    <t>MG - GUIMARÂNIA</t>
  </si>
  <si>
    <t>MG - GUIRICEMA</t>
  </si>
  <si>
    <t>MG - GURINHATÃ</t>
  </si>
  <si>
    <t>MG - HELIODORA</t>
  </si>
  <si>
    <t>MG - IAPU</t>
  </si>
  <si>
    <t>MG - IBERTIOGA</t>
  </si>
  <si>
    <t>MG - IBIÁ</t>
  </si>
  <si>
    <t>MG - IBIAÍ</t>
  </si>
  <si>
    <t>MG - IBIRACATU</t>
  </si>
  <si>
    <t>MG - IBIRACI</t>
  </si>
  <si>
    <t>MG - IBIRITÉ</t>
  </si>
  <si>
    <t>MG - IBITIÚRA DE MINAS</t>
  </si>
  <si>
    <t>MG - IBITURUNA</t>
  </si>
  <si>
    <t>MG - ICARAÍ DE MINAS</t>
  </si>
  <si>
    <t>MG - IGARAPÉ</t>
  </si>
  <si>
    <t>MG - IGARATINGA</t>
  </si>
  <si>
    <t>MG - IGUATAMA</t>
  </si>
  <si>
    <t>MG - IJACI</t>
  </si>
  <si>
    <t>MG - ILICÍNEA</t>
  </si>
  <si>
    <t>MG - IMBÉ DE MINAS</t>
  </si>
  <si>
    <t>MG - INCONFIDENTES</t>
  </si>
  <si>
    <t>MG - INDAIABIRA</t>
  </si>
  <si>
    <t>MG - INDIANÓPOLIS</t>
  </si>
  <si>
    <t>MG - INGAÍ</t>
  </si>
  <si>
    <t>MG - INHAPIM</t>
  </si>
  <si>
    <t>MG - INHAÚMA</t>
  </si>
  <si>
    <t>MG - INIMUTABA</t>
  </si>
  <si>
    <t>MG - IPABA</t>
  </si>
  <si>
    <t>MG - IPANEMA</t>
  </si>
  <si>
    <t>MG - IPATINGA</t>
  </si>
  <si>
    <t>MG - IPIAÇU</t>
  </si>
  <si>
    <t>MG - IPUIÚNA</t>
  </si>
  <si>
    <t>MG - IRAÍ DE MINAS</t>
  </si>
  <si>
    <t>MG - ITABIRA</t>
  </si>
  <si>
    <t>MG - ITABIRINHA</t>
  </si>
  <si>
    <t>MG - ITABIRITO</t>
  </si>
  <si>
    <t>MG - ITACAMBIRA</t>
  </si>
  <si>
    <t>MG - ITACARAMBI</t>
  </si>
  <si>
    <t>MG - ITAGUARA</t>
  </si>
  <si>
    <t>MG - ITAIPÉ</t>
  </si>
  <si>
    <t>MG - ITAJUBÁ</t>
  </si>
  <si>
    <t>MG - ITAMARANDIBA</t>
  </si>
  <si>
    <t>MG - ITAMARATI DE MINAS</t>
  </si>
  <si>
    <t>MG - ITAMBACURI</t>
  </si>
  <si>
    <t>MG - ITAMBÉ DO MATO DENTRO</t>
  </si>
  <si>
    <t>MG - ITAMOGI</t>
  </si>
  <si>
    <t>MG - ITAMONTE</t>
  </si>
  <si>
    <t>MG - ITANHANDU</t>
  </si>
  <si>
    <t>MG - ITANHOMI</t>
  </si>
  <si>
    <t>MG - ITAOBIM</t>
  </si>
  <si>
    <t>MG - ITAPAGIPE</t>
  </si>
  <si>
    <t>MG - ITAPECERICA</t>
  </si>
  <si>
    <t>MG - ITAPEVA</t>
  </si>
  <si>
    <t>MG - ITATIAIUÇU</t>
  </si>
  <si>
    <t>MG - ITAÚ DE MINAS</t>
  </si>
  <si>
    <t>MG - ITAÚNA</t>
  </si>
  <si>
    <t>MG - ITAVERAVA</t>
  </si>
  <si>
    <t>MG - ITINGA</t>
  </si>
  <si>
    <t>MG - ITUETA</t>
  </si>
  <si>
    <t>MG - ITUIUTABA</t>
  </si>
  <si>
    <t>MG - ITUMIRIM</t>
  </si>
  <si>
    <t>MG - ITURAMA</t>
  </si>
  <si>
    <t>MG - ITUTINGA</t>
  </si>
  <si>
    <t>MG - JABOTICATUBAS</t>
  </si>
  <si>
    <t>MG - JACINTO</t>
  </si>
  <si>
    <t>MG - JACUÍ</t>
  </si>
  <si>
    <t>MG - JACUTINGA</t>
  </si>
  <si>
    <t>MG - JAGUARAÇU</t>
  </si>
  <si>
    <t>MG - JAÍBA</t>
  </si>
  <si>
    <t>MG - JAMPRUCA</t>
  </si>
  <si>
    <t>MG - JANAÚBA</t>
  </si>
  <si>
    <t>MG - JANUÁRIA</t>
  </si>
  <si>
    <t>MG - JAPARAÍBA</t>
  </si>
  <si>
    <t>MG - JAPONVAR</t>
  </si>
  <si>
    <t>MG - JECEABA</t>
  </si>
  <si>
    <t>MG - JENIPAPO DE MINAS</t>
  </si>
  <si>
    <t>MG - JEQUERI</t>
  </si>
  <si>
    <t>MG - JEQUITAÍ</t>
  </si>
  <si>
    <t>MG - JEQUITIBÁ</t>
  </si>
  <si>
    <t>MG - JEQUITINHONHA</t>
  </si>
  <si>
    <t>MG - JESUÂNIA</t>
  </si>
  <si>
    <t>MG - JOAÍMA</t>
  </si>
  <si>
    <t>MG - JOANÉSIA</t>
  </si>
  <si>
    <t>MG - JOÃO MONLEVADE</t>
  </si>
  <si>
    <t>MG - JOÃO PINHEIRO</t>
  </si>
  <si>
    <t>MG - JOAQUIM FELÍCIO</t>
  </si>
  <si>
    <t>MG - JORDÂNIA</t>
  </si>
  <si>
    <t>MG - JOSÉ GONÇALVES DE MINAS</t>
  </si>
  <si>
    <t>MG - JOSÉ RAYDAN</t>
  </si>
  <si>
    <t>MG - JOSENÓPOLIS</t>
  </si>
  <si>
    <t>MG - JUATUBA</t>
  </si>
  <si>
    <t>MG - JUIZ DE FORA</t>
  </si>
  <si>
    <t>MG - JURAMENTO</t>
  </si>
  <si>
    <t>MG - JURUAIA</t>
  </si>
  <si>
    <t>MG - JUVENÍLIA</t>
  </si>
  <si>
    <t>MG - LADAINHA</t>
  </si>
  <si>
    <t>MG - LAGAMAR</t>
  </si>
  <si>
    <t>MG - LAGOA DA PRATA</t>
  </si>
  <si>
    <t>MG - LAGOA DOS PATOS</t>
  </si>
  <si>
    <t>MG - LAGOA DOURADA</t>
  </si>
  <si>
    <t>MG - LAGOA FORMOSA</t>
  </si>
  <si>
    <t>MG - LAGOA GRANDE</t>
  </si>
  <si>
    <t>MG - LAGOA SANTA</t>
  </si>
  <si>
    <t>MG - LAJINHA</t>
  </si>
  <si>
    <t>MG - LAMBARI</t>
  </si>
  <si>
    <t>MG - LAMIM</t>
  </si>
  <si>
    <t>MG - LARANJAL</t>
  </si>
  <si>
    <t>MG - LASSANCE</t>
  </si>
  <si>
    <t>MG - LAVRAS</t>
  </si>
  <si>
    <t>MG - LEANDRO FERREIRA</t>
  </si>
  <si>
    <t>MG - LEME DO PRADO</t>
  </si>
  <si>
    <t>MG - LEOPOLDINA</t>
  </si>
  <si>
    <t>MG - LIBERDADE</t>
  </si>
  <si>
    <t>MG - LIMA DUARTE</t>
  </si>
  <si>
    <t>MG - LIMEIRA DO OESTE</t>
  </si>
  <si>
    <t>MG - LONTRA</t>
  </si>
  <si>
    <t>MG - LUISBURGO</t>
  </si>
  <si>
    <t>MG - LUISLÂNDIA</t>
  </si>
  <si>
    <t>MG - LUMINÁRIAS</t>
  </si>
  <si>
    <t>MG - LUZ</t>
  </si>
  <si>
    <t>MG - MACHACALIS</t>
  </si>
  <si>
    <t>MG - MACHADO</t>
  </si>
  <si>
    <t>MG - MADRE DE DEUS DE MINAS</t>
  </si>
  <si>
    <t>MG - MALACACHETA</t>
  </si>
  <si>
    <t>MG - MAMONAS</t>
  </si>
  <si>
    <t>MG - MANGA</t>
  </si>
  <si>
    <t>MG - MANHUAÇU</t>
  </si>
  <si>
    <t>MG - MANHUMIRIM</t>
  </si>
  <si>
    <t>MG - MANTENA</t>
  </si>
  <si>
    <t>MG - MAR DE ESPANHA</t>
  </si>
  <si>
    <t>MG - MARAVILHAS</t>
  </si>
  <si>
    <t>MG - MARIA DA FÉ</t>
  </si>
  <si>
    <t>MG - MARIANA</t>
  </si>
  <si>
    <t>MG - MARILAC</t>
  </si>
  <si>
    <t>MG - MÁRIO CAMPOS</t>
  </si>
  <si>
    <t>MG - MARIPÁ DE MINAS</t>
  </si>
  <si>
    <t>MG - MARLIÉRIA</t>
  </si>
  <si>
    <t>MG - MARMELÓPOLIS</t>
  </si>
  <si>
    <t>MG - MARTINHO CAMPOS</t>
  </si>
  <si>
    <t>MG - MARTINS SOARES</t>
  </si>
  <si>
    <t>MG - MATA VERDE</t>
  </si>
  <si>
    <t>MG - MATERLÂNDIA</t>
  </si>
  <si>
    <t>MG - MATEUS LEME</t>
  </si>
  <si>
    <t>MG - MATHIAS LOBATO</t>
  </si>
  <si>
    <t>MG - MATIAS BARBOSA</t>
  </si>
  <si>
    <t>MG - MATIAS CARDOSO</t>
  </si>
  <si>
    <t>MG - MATIPÓ</t>
  </si>
  <si>
    <t>MG - MATO VERDE</t>
  </si>
  <si>
    <t>MG - MATOZINHOS</t>
  </si>
  <si>
    <t>MG - MATUTINA</t>
  </si>
  <si>
    <t>MG - MEDEIROS</t>
  </si>
  <si>
    <t>MG - MEDINA</t>
  </si>
  <si>
    <t>MG - MENDES PIMENTEL</t>
  </si>
  <si>
    <t>MG - MERCÊS</t>
  </si>
  <si>
    <t>MG - MESQUITA</t>
  </si>
  <si>
    <t>MG - MINAS NOVAS</t>
  </si>
  <si>
    <t>MG - MINDURI</t>
  </si>
  <si>
    <t>MG - MIRABELA</t>
  </si>
  <si>
    <t>MG - MIRADOURO</t>
  </si>
  <si>
    <t>MG - MIRAÍ</t>
  </si>
  <si>
    <t>MG - MIRAVÂNIA</t>
  </si>
  <si>
    <t>MG - MOEDA</t>
  </si>
  <si>
    <t>MG - MOEMA</t>
  </si>
  <si>
    <t>MG - MONJOLOS</t>
  </si>
  <si>
    <t>MG - MONSENHOR PAULO</t>
  </si>
  <si>
    <t>MG - MONTALVÂNIA</t>
  </si>
  <si>
    <t>MG - MONTE ALEGRE DE MINAS</t>
  </si>
  <si>
    <t>MG - MONTE AZUL</t>
  </si>
  <si>
    <t>MG - MONTE BELO</t>
  </si>
  <si>
    <t>MG - MONTE CARMELO</t>
  </si>
  <si>
    <t>MG - MONTE FORMOSO</t>
  </si>
  <si>
    <t>MG - MONTE SANTO DE MINAS</t>
  </si>
  <si>
    <t>MG - MONTE SIÃO</t>
  </si>
  <si>
    <t>MG - MONTES CLAROS</t>
  </si>
  <si>
    <t>MG - MONTEZUMA</t>
  </si>
  <si>
    <t>MG - MORADA NOVA DE MINAS</t>
  </si>
  <si>
    <t>MG - MORRO DA GARÇA</t>
  </si>
  <si>
    <t>MG - MORRO DO PILAR</t>
  </si>
  <si>
    <t>MG - MUNHOZ</t>
  </si>
  <si>
    <t>MG - MURIAÉ</t>
  </si>
  <si>
    <t>MG - MUTUM</t>
  </si>
  <si>
    <t>MG - MUZAMBINHO</t>
  </si>
  <si>
    <t>MG - NACIP RAYDAN</t>
  </si>
  <si>
    <t>MG - NANUQUE</t>
  </si>
  <si>
    <t>MG - NAQUE</t>
  </si>
  <si>
    <t>MG - NATALÂNDIA</t>
  </si>
  <si>
    <t>MG - NATÉRCIA</t>
  </si>
  <si>
    <t>MG - NAZARENO</t>
  </si>
  <si>
    <t>MG - NEPOMUCENO</t>
  </si>
  <si>
    <t>MG - NINHEIRA</t>
  </si>
  <si>
    <t>MG - NOVA BELÉM</t>
  </si>
  <si>
    <t>MG - NOVA ERA</t>
  </si>
  <si>
    <t>MG - NOVA LIMA</t>
  </si>
  <si>
    <t>MG - NOVA MÓDICA</t>
  </si>
  <si>
    <t>MG - NOVA PONTE</t>
  </si>
  <si>
    <t>MG - NOVA PORTEIRINHA</t>
  </si>
  <si>
    <t>MG - NOVA RESENDE</t>
  </si>
  <si>
    <t>MG - NOVA SERRANA</t>
  </si>
  <si>
    <t>MG - NOVA UNIÃO</t>
  </si>
  <si>
    <t>MG - NOVO CRUZEIRO</t>
  </si>
  <si>
    <t>MG - NOVO ORIENTE DE MINAS</t>
  </si>
  <si>
    <t>MG - NOVORIZONTE</t>
  </si>
  <si>
    <t>MG - OLARIA</t>
  </si>
  <si>
    <t>MG - OLHOS-D'ÁGUA</t>
  </si>
  <si>
    <t>MG - OLÍMPIO NORONHA</t>
  </si>
  <si>
    <t>MG - OLIVEIRA</t>
  </si>
  <si>
    <t>MG - OLIVEIRA FORTES</t>
  </si>
  <si>
    <t>MG - ONÇA DE PITANGUI</t>
  </si>
  <si>
    <t>MG - ORATÓRIOS</t>
  </si>
  <si>
    <t>MG - ORIZÂNIA</t>
  </si>
  <si>
    <t>MG - OURO BRANCO</t>
  </si>
  <si>
    <t>MG - OURO FINO</t>
  </si>
  <si>
    <t>MG - OURO PRETO</t>
  </si>
  <si>
    <t>MG - OURO VERDE DE MINAS</t>
  </si>
  <si>
    <t>MG - PADRE CARVALHO</t>
  </si>
  <si>
    <t>MG - PADRE PARAÍSO</t>
  </si>
  <si>
    <t>MG - PAI PEDRO</t>
  </si>
  <si>
    <t>MG - PAINEIRAS</t>
  </si>
  <si>
    <t>MG - PAINS</t>
  </si>
  <si>
    <t>MG - PAIVA</t>
  </si>
  <si>
    <t>MG - PALMA</t>
  </si>
  <si>
    <t>MG - PALMÓPOLIS</t>
  </si>
  <si>
    <t>MG - PAPAGAIOS</t>
  </si>
  <si>
    <t>MG - PARÁ DE MINAS</t>
  </si>
  <si>
    <t>MG - PARACATU</t>
  </si>
  <si>
    <t>MG - PARAGUAÇU</t>
  </si>
  <si>
    <t>MG - PARAISÓPOLIS</t>
  </si>
  <si>
    <t>MG - PARAOPEBA</t>
  </si>
  <si>
    <t>MG - PASSA QUATRO</t>
  </si>
  <si>
    <t xml:space="preserve">MG - PASSA </t>
  </si>
  <si>
    <t>MG - PASSABÉM</t>
  </si>
  <si>
    <t>MG - PASSA-VINTE</t>
  </si>
  <si>
    <t>MG - PASSOS</t>
  </si>
  <si>
    <t>MG - PATIS</t>
  </si>
  <si>
    <t>MG - PATOS DE MINAS</t>
  </si>
  <si>
    <t>MG - PATROCÍNIO</t>
  </si>
  <si>
    <t>MG - PATROCÍNIO DO MURIAÉ</t>
  </si>
  <si>
    <t>MG - PAULA CÂNDIDO</t>
  </si>
  <si>
    <t>MG - PAULISTAS</t>
  </si>
  <si>
    <t>MG - PAVÃO</t>
  </si>
  <si>
    <t>MG - PEÇANHA</t>
  </si>
  <si>
    <t>MG - PEDRA AZUL</t>
  </si>
  <si>
    <t>MG - PEDRA BONITA</t>
  </si>
  <si>
    <t>MG - PEDRA DO ANTA</t>
  </si>
  <si>
    <t>MG - PEDRA DO INDAIÁ</t>
  </si>
  <si>
    <t>MG - PEDRA DOURADA</t>
  </si>
  <si>
    <t>MG - PEDRALVA</t>
  </si>
  <si>
    <t>MG - PEDRAS DE MARIA DA CRUZ</t>
  </si>
  <si>
    <t>MG - PEDRINÓPOLIS</t>
  </si>
  <si>
    <t>MG - PEDRO LEOPOLDO</t>
  </si>
  <si>
    <t>MG - PEDRO TEIXEIRA</t>
  </si>
  <si>
    <t>MG - PEQUERI</t>
  </si>
  <si>
    <t>MG - PEQUI</t>
  </si>
  <si>
    <t>MG - PERDIGÃO</t>
  </si>
  <si>
    <t>MG - PERDIZES</t>
  </si>
  <si>
    <t>MG - PERDÕES</t>
  </si>
  <si>
    <t>MG - PERIQUITO</t>
  </si>
  <si>
    <t>MG - PESCADOR</t>
  </si>
  <si>
    <t>MG - PIAU</t>
  </si>
  <si>
    <t>MG - PIEDADE DE CARATINGA</t>
  </si>
  <si>
    <t>MG - PIEDADE DE PONTE NOVA</t>
  </si>
  <si>
    <t>MG - PIEDADE DO RIO GRANDE</t>
  </si>
  <si>
    <t>MG - PIEDADE DOS GERAIS</t>
  </si>
  <si>
    <t>MG - PIMENTA</t>
  </si>
  <si>
    <t>MG - PINGO-D'ÁGUA</t>
  </si>
  <si>
    <t>MG - PINTÓPOLIS</t>
  </si>
  <si>
    <t>MG - PIRACEMA</t>
  </si>
  <si>
    <t>MG - PIRAJUBA</t>
  </si>
  <si>
    <t>MG - PIRANGA</t>
  </si>
  <si>
    <t>MG - PIRANGUÇU</t>
  </si>
  <si>
    <t>MG - PIRANGUINHO</t>
  </si>
  <si>
    <t>MG - PIRAPETINGA</t>
  </si>
  <si>
    <t>MG - PIRAPORA</t>
  </si>
  <si>
    <t>MG - PIRAÚBA</t>
  </si>
  <si>
    <t>MG - PITANGUI</t>
  </si>
  <si>
    <t>MG - PIUMHI</t>
  </si>
  <si>
    <t>MG - PLANURA</t>
  </si>
  <si>
    <t>MG - POÇO FUNDO</t>
  </si>
  <si>
    <t>MG - POÇOS DE CALDAS</t>
  </si>
  <si>
    <t>MG - POCRANE</t>
  </si>
  <si>
    <t>MG - POMPÉU</t>
  </si>
  <si>
    <t>MG - PONTE NOVA</t>
  </si>
  <si>
    <t>MG - PONTO CHIQUE</t>
  </si>
  <si>
    <t>MG - PONTO DOS VOLANTES</t>
  </si>
  <si>
    <t>MG - PORTEIRINHA</t>
  </si>
  <si>
    <t>MG - PORTO FIRME</t>
  </si>
  <si>
    <t>MG - POTÉ</t>
  </si>
  <si>
    <t>MG - POUSO ALEGRE</t>
  </si>
  <si>
    <t>MG - POUSO ALTO</t>
  </si>
  <si>
    <t>MG - PRADOS</t>
  </si>
  <si>
    <t>MG - PRATA</t>
  </si>
  <si>
    <t>MG - PRATÁPOLIS</t>
  </si>
  <si>
    <t>MG - PRATINHA</t>
  </si>
  <si>
    <t>MG - PRESIDENTE BERNARDES</t>
  </si>
  <si>
    <t>MG - PRESIDENTE JUSCELINO</t>
  </si>
  <si>
    <t>MG - PRESIDENTE KUBITSCHEK</t>
  </si>
  <si>
    <t>MG - PRESIDENTE OLEGÁRIO</t>
  </si>
  <si>
    <t>MG - PRUDENTE DE MORAIS</t>
  </si>
  <si>
    <t>MG - QUARTEL GERAL</t>
  </si>
  <si>
    <t>MG - QUELUZITO</t>
  </si>
  <si>
    <t>MG - RAPOSOS</t>
  </si>
  <si>
    <t>MG - RAUL SOARES</t>
  </si>
  <si>
    <t>MG - RECREIO</t>
  </si>
  <si>
    <t>MG - REDUTO</t>
  </si>
  <si>
    <t>MG - RESENDE COSTA</t>
  </si>
  <si>
    <t>MG - RESPLENDOR</t>
  </si>
  <si>
    <t>MG - RESSAQUINHA</t>
  </si>
  <si>
    <t>MG - RIACHINHO</t>
  </si>
  <si>
    <t>MG - RIACHO DOS MACHADOS</t>
  </si>
  <si>
    <t>MG - RIBEIRÃO DAS NEVES</t>
  </si>
  <si>
    <t>MG - RIBEIRÃO VERMELHO</t>
  </si>
  <si>
    <t>MG - RIO ACIMA</t>
  </si>
  <si>
    <t>MG - RIO CASCA</t>
  </si>
  <si>
    <t>MG - RIO DO PRADO</t>
  </si>
  <si>
    <t>MG - RIO DOCE</t>
  </si>
  <si>
    <t>MG - RIO ESPERA</t>
  </si>
  <si>
    <t>MG - RIO MANSO</t>
  </si>
  <si>
    <t>MG - RIO NOVO</t>
  </si>
  <si>
    <t>MG - RIO PARANAÍBA</t>
  </si>
  <si>
    <t>MG - RIO PARDO DE MINAS</t>
  </si>
  <si>
    <t>MG - RIO PIRACICABA</t>
  </si>
  <si>
    <t>MG - RIO POMBA</t>
  </si>
  <si>
    <t>MG - RIO PRETO</t>
  </si>
  <si>
    <t>MG - RIO VERMELHO</t>
  </si>
  <si>
    <t>MG - RITÁPOLIS</t>
  </si>
  <si>
    <t>MG - ROCHEDO DE MINAS</t>
  </si>
  <si>
    <t>MG - RODEIRO</t>
  </si>
  <si>
    <t>MG - ROMARIA</t>
  </si>
  <si>
    <t>MG - ROSÁRIO DA LIMEIRA</t>
  </si>
  <si>
    <t>MG - RUBELITA</t>
  </si>
  <si>
    <t>MG - RUBIM</t>
  </si>
  <si>
    <t>MG - SABARÁ</t>
  </si>
  <si>
    <t>MG - SABINÓPOLIS</t>
  </si>
  <si>
    <t>MG - SACRAMENTO</t>
  </si>
  <si>
    <t>MG - SALINAS</t>
  </si>
  <si>
    <t>MG - SALTO DA DIVISA</t>
  </si>
  <si>
    <t>MG - SANTA BÁRBARA</t>
  </si>
  <si>
    <t>MG - SANTA BÁRBARA DO LESTE</t>
  </si>
  <si>
    <t>MG - SANTA BÁRBARA DO MONTE VERDE</t>
  </si>
  <si>
    <t>MG - SANTA BÁRBARA DO TUGÚRIO</t>
  </si>
  <si>
    <t>MG - SANTA CRUZ DE MINAS</t>
  </si>
  <si>
    <t>MG - SANTA CRUZ DE SALINAS</t>
  </si>
  <si>
    <t>MG - SANTA CRUZ DO ESCALVADO</t>
  </si>
  <si>
    <t>MG - SANTA EFIGÊNIA DE MINAS</t>
  </si>
  <si>
    <t>MG - SANTA FÉ DE MINAS</t>
  </si>
  <si>
    <t>MG - SANTA HELENA DE MINAS</t>
  </si>
  <si>
    <t>MG - SANTA JULIANA</t>
  </si>
  <si>
    <t>MG - SANTA LUZIA</t>
  </si>
  <si>
    <t>MG - SANTA MARGARIDA</t>
  </si>
  <si>
    <t>MG - SANTA MARIA DE ITABIRA</t>
  </si>
  <si>
    <t>MG - SANTA MARIA DO SALTO</t>
  </si>
  <si>
    <t>MG - SANTA MARIA DO SUAÇUÍ</t>
  </si>
  <si>
    <t>MG - SANTA RITA DE CALDAS</t>
  </si>
  <si>
    <t>MG - SANTA RITA DE IBITIPOCA</t>
  </si>
  <si>
    <t>MG - SANTA RITA DE JACUTINGA</t>
  </si>
  <si>
    <t>MG - SANTA RITA DE MINAS</t>
  </si>
  <si>
    <t>MG - SANTA RITA DO ITUETO</t>
  </si>
  <si>
    <t>MG - SANTA RITA DO SAPUCAÍ</t>
  </si>
  <si>
    <t>MG - SANTA ROSA DA SERRA</t>
  </si>
  <si>
    <t>MG - SANTA VITÓRIA</t>
  </si>
  <si>
    <t>MG - SANTANA DA VARGEM</t>
  </si>
  <si>
    <t>MG - SANTANA DE CATAGUASES</t>
  </si>
  <si>
    <t>MG - SANTANA DE PIRAPAMA</t>
  </si>
  <si>
    <t>MG - SANTANA DO DESERTO</t>
  </si>
  <si>
    <t>MG - SANTANA DO GARAMBÉU</t>
  </si>
  <si>
    <t>MG - SANTANA DO JACARÉ</t>
  </si>
  <si>
    <t>MG - SANTANA DO MANHUAÇU</t>
  </si>
  <si>
    <t>MG - SANTANA DO PARAÍSO</t>
  </si>
  <si>
    <t>MG - SANTANA DO RIACHO</t>
  </si>
  <si>
    <t>MG - SANTANA DOS MONTES</t>
  </si>
  <si>
    <t>MG - SANTO ANTÔNIO DO AMPARO</t>
  </si>
  <si>
    <t>MG - SANTO ANTÔNIO DO AVENTUREIRO</t>
  </si>
  <si>
    <t>MG - SANTO ANTÔNIO DO GRAMA</t>
  </si>
  <si>
    <t>MG - SANTO ANTÔNIO DO ITAMBÉ</t>
  </si>
  <si>
    <t>MG - SANTO ANTÔNIO DO JACINTO</t>
  </si>
  <si>
    <t>MG - SANTO ANTÔNIO DO MONTE</t>
  </si>
  <si>
    <t>MG - SANTO ANTÔNIO DO RETIRO</t>
  </si>
  <si>
    <t>MG - SANTO ANTÔNIO DO RIO ABAIXO</t>
  </si>
  <si>
    <t>MG - SANTO HIPÓLITO</t>
  </si>
  <si>
    <t>MG - SANTOS DUMONT</t>
  </si>
  <si>
    <t>MG - SÃO BENTO ABADE</t>
  </si>
  <si>
    <t>MG - SÃO BRÁS DO SUAÇUÍ</t>
  </si>
  <si>
    <t>MG - SÃO DOMINGOS DAS DORES</t>
  </si>
  <si>
    <t>MG - SÃO DOMINGOS DO PRATA</t>
  </si>
  <si>
    <t>MG - SÃO FÉLIX DE MINAS</t>
  </si>
  <si>
    <t>MG - SÃO FRANCISCO</t>
  </si>
  <si>
    <t>MG - SÃO FRANCISCO DE PAULA</t>
  </si>
  <si>
    <t>MG - SÃO FRANCISCO DE SALES</t>
  </si>
  <si>
    <t>MG - SÃO FRANCISCO DO GLÓRIA</t>
  </si>
  <si>
    <t>MG - SÃO GERALDO</t>
  </si>
  <si>
    <t>MG - SÃO GERALDO DA PIEDADE</t>
  </si>
  <si>
    <t>MG - SÃO GERALDO DO BAIXIO</t>
  </si>
  <si>
    <t>MG - SÃO GONÇALO DO ABAETÉ</t>
  </si>
  <si>
    <t>MG - SÃO GONÇALO DO PARÁ</t>
  </si>
  <si>
    <t>MG - SÃO GONÇALO DO RIO ABAIXO</t>
  </si>
  <si>
    <t>MG - SÃO GONÇALO DO RIO PRETO</t>
  </si>
  <si>
    <t>MG - SÃO GONÇALO DO SAPUCAÍ</t>
  </si>
  <si>
    <t>MG - SÃO GOTARDO</t>
  </si>
  <si>
    <t>MG - SÃO JOÃO BATISTA DO GLÓRIA</t>
  </si>
  <si>
    <t>MG - SÃO JOÃO DA LAGOA</t>
  </si>
  <si>
    <t>MG - SÃO JOÃO DA MATA</t>
  </si>
  <si>
    <t>MG - SÃO JOÃO DA PONTE</t>
  </si>
  <si>
    <t>MG - SÃO JOÃO DAS MISSÕES</t>
  </si>
  <si>
    <t>MG - SÃO JOÃO DEL REI</t>
  </si>
  <si>
    <t>MG - SÃO JOÃO DO MANHUAÇU</t>
  </si>
  <si>
    <t>MG - SÃO JOÃO DO MANTENINHA</t>
  </si>
  <si>
    <t>MG - SÃO JOÃO DO ORIENTE</t>
  </si>
  <si>
    <t>MG - SÃO JOÃO DO PACUÍ</t>
  </si>
  <si>
    <t>MG - SÃO JOÃO DO PARAÍSO</t>
  </si>
  <si>
    <t>MG - SÃO JOÃO EVANGELISTA</t>
  </si>
  <si>
    <t>MG - SÃO JOÃO NEPOMUCENO</t>
  </si>
  <si>
    <t>MG - SÃO JOAQUIM DE BICAS</t>
  </si>
  <si>
    <t>MG - SÃO JOSÉ DA BARRA</t>
  </si>
  <si>
    <t>MG - SÃO JOSÉ DA LAPA</t>
  </si>
  <si>
    <t>MG - SÃO JOSÉ DA SAFIRA</t>
  </si>
  <si>
    <t>MG - SÃO JOSÉ DA VARGINHA</t>
  </si>
  <si>
    <t>MG - SÃO JOSÉ DO ALEGRE</t>
  </si>
  <si>
    <t>MG - SÃO JOSÉ DO DIVINO</t>
  </si>
  <si>
    <t>MG - SÃO JOSÉ DO GOIABAL</t>
  </si>
  <si>
    <t>MG - SÃO JOSÉ DO JACURI</t>
  </si>
  <si>
    <t>MG - SÃO JOSÉ DO MANTIMENTO</t>
  </si>
  <si>
    <t>MG - SÃO LOURENÇO</t>
  </si>
  <si>
    <t>MG - SÃO MIGUEL DO ANTA</t>
  </si>
  <si>
    <t>MG - SÃO PEDRO DA UNIÃO</t>
  </si>
  <si>
    <t>MG - SÃO PEDRO DO SUAÇUÍ</t>
  </si>
  <si>
    <t>MG - SÃO PEDRO DOS FERROS</t>
  </si>
  <si>
    <t>MG - SÃO ROMÃO</t>
  </si>
  <si>
    <t>MG - SÃO ROQUE DE MINAS</t>
  </si>
  <si>
    <t>MG - SÃO SEBASTIÃO DA BELA VISTA</t>
  </si>
  <si>
    <t>MG - SÃO SEBASTIÃO DA VARGEM ALEGRE</t>
  </si>
  <si>
    <t>MG - SÃO SEBASTIÃO DO ANTA</t>
  </si>
  <si>
    <t>MG - SÃO SEBASTIÃO DO MARANHÃO</t>
  </si>
  <si>
    <t>MG - SÃO SEBASTIÃO DO OESTE</t>
  </si>
  <si>
    <t>MG - SÃO SEBASTIÃO DO PARAÍSO</t>
  </si>
  <si>
    <t>MG - SÃO SEBASTIÃO DO RIO PRETO</t>
  </si>
  <si>
    <t>MG - SÃO SEBASTIÃO DO RIO VERDE</t>
  </si>
  <si>
    <t>MG - SÃO THOMÉ DAS LETRAS</t>
  </si>
  <si>
    <t>MG - SÃO TIAGO</t>
  </si>
  <si>
    <t>MG - SÃO TOMÁS DE AQUINO</t>
  </si>
  <si>
    <t>MG - SÃO VICENTE DE MINAS</t>
  </si>
  <si>
    <t>MG - SAPUCAÍ-MIRIM</t>
  </si>
  <si>
    <t>MG - SARDOÁ</t>
  </si>
  <si>
    <t>MG - SARZEDO</t>
  </si>
  <si>
    <t>MG - SEM-PEIXE</t>
  </si>
  <si>
    <t>MG - SENADOR AMARAL</t>
  </si>
  <si>
    <t>MG - SENADOR CORTES</t>
  </si>
  <si>
    <t>MG - SENADOR FIRMINO</t>
  </si>
  <si>
    <t>MG - SENADOR JOSÉ BENTO</t>
  </si>
  <si>
    <t>MG - SENADOR MODESTINO GONÇALVES</t>
  </si>
  <si>
    <t>MG - SENHORA DE OLIVEIRA</t>
  </si>
  <si>
    <t>MG - SENHORA DO PORTO</t>
  </si>
  <si>
    <t>MG - SENHORA DOS REMÉDIOS</t>
  </si>
  <si>
    <t>MG - SERICITA</t>
  </si>
  <si>
    <t>MG - SERITINGA</t>
  </si>
  <si>
    <t>MG - SERRA AZUL DE MINAS</t>
  </si>
  <si>
    <t>MG - SERRA DA SAUDADE</t>
  </si>
  <si>
    <t>MG - SERRA DO SALITRE</t>
  </si>
  <si>
    <t>MG - SERRA DOS AIMORÉS</t>
  </si>
  <si>
    <t>MG - SERRANIA</t>
  </si>
  <si>
    <t>MG - SERRANÓPOLIS DE MINAS</t>
  </si>
  <si>
    <t>MG - SERRANOS</t>
  </si>
  <si>
    <t>MG - SERRO</t>
  </si>
  <si>
    <t>MG - SETE LAGOAS</t>
  </si>
  <si>
    <t>MG - SETUBINHA</t>
  </si>
  <si>
    <t>MG - SILVEIRÂNIA</t>
  </si>
  <si>
    <t>MG - SILVIANÓPOLIS</t>
  </si>
  <si>
    <t>MG - SIMÃO PEREIRA</t>
  </si>
  <si>
    <t>MG - SIMONÉSIA</t>
  </si>
  <si>
    <t>MG - SOBRÁLIA</t>
  </si>
  <si>
    <t>MG - SOLEDADE DE MINAS</t>
  </si>
  <si>
    <t>MG - TABULEIRO</t>
  </si>
  <si>
    <t>MG - TAIOBEIRAS</t>
  </si>
  <si>
    <t>MG - TAPARUBA</t>
  </si>
  <si>
    <t>MG - TAPIRA</t>
  </si>
  <si>
    <t>MG - TAPIRAÍ</t>
  </si>
  <si>
    <t>MG - TAQUARAÇU DE MINAS</t>
  </si>
  <si>
    <t>MG - TARUMIRIM</t>
  </si>
  <si>
    <t>MG - TEIXEIRAS</t>
  </si>
  <si>
    <t>MG - TEÓFILO OTONI</t>
  </si>
  <si>
    <t>MG - TIMÓTEO</t>
  </si>
  <si>
    <t>MG - TIRADENTES</t>
  </si>
  <si>
    <t>MG - TIROS</t>
  </si>
  <si>
    <t>MG - TOCANTINS</t>
  </si>
  <si>
    <t>MG - TOCOS DO MOJI</t>
  </si>
  <si>
    <t>MG - TOLEDO</t>
  </si>
  <si>
    <t>MG - TOMBOS</t>
  </si>
  <si>
    <t>MG - TRÊS CORAÇÕES</t>
  </si>
  <si>
    <t>MG - TRÊS MARIAS</t>
  </si>
  <si>
    <t>MG - TRÊS PONTAS</t>
  </si>
  <si>
    <t>MG - TUMIRITINGA</t>
  </si>
  <si>
    <t>MG - TUPACIGUARA</t>
  </si>
  <si>
    <t>MG - TURMALINA</t>
  </si>
  <si>
    <t>MG - TURVOLÂNDIA</t>
  </si>
  <si>
    <t>MG - UBÁ</t>
  </si>
  <si>
    <t>MG - UBAÍ</t>
  </si>
  <si>
    <t>MG - UBAPORANGA</t>
  </si>
  <si>
    <t>MG - UBERABA</t>
  </si>
  <si>
    <t>MG - UBERLÂNDIA</t>
  </si>
  <si>
    <t>MG - UMBURATIBA</t>
  </si>
  <si>
    <t>MG - UNAÍ</t>
  </si>
  <si>
    <t>MG - UNIÃO DE MINAS</t>
  </si>
  <si>
    <t>MG - URUANA DE MINAS</t>
  </si>
  <si>
    <t>MG - URUCÂNIA</t>
  </si>
  <si>
    <t>MG - URUCUIA</t>
  </si>
  <si>
    <t>MG - VARGEM ALEGRE</t>
  </si>
  <si>
    <t>MG - VARGEM BONITA</t>
  </si>
  <si>
    <t>MG - VARGEM GRANDE DO RIO PARDO</t>
  </si>
  <si>
    <t>MG - VARGINHA</t>
  </si>
  <si>
    <t>MG - VARJÃO DE MINAS</t>
  </si>
  <si>
    <t>MG - VÁRZEA DA PALMA</t>
  </si>
  <si>
    <t>MG - VARZELÂNDIA</t>
  </si>
  <si>
    <t>MG - VAZANTE</t>
  </si>
  <si>
    <t>MG - VERDELÂNDIA</t>
  </si>
  <si>
    <t>MG - VEREDINHA</t>
  </si>
  <si>
    <t>MG - VERÍSSIMO</t>
  </si>
  <si>
    <t>MG - VERMELHO NOVO</t>
  </si>
  <si>
    <t>MG - VESPASIANO</t>
  </si>
  <si>
    <t>MG - VIÇOSA</t>
  </si>
  <si>
    <t>MG - VIEIRAS</t>
  </si>
  <si>
    <t>MG - VIRGEM DA LAPA</t>
  </si>
  <si>
    <t>MG - VIRGÍNIA</t>
  </si>
  <si>
    <t>MG - VIRGINÓPOLIS</t>
  </si>
  <si>
    <t>MG - VIRGOLÂNDIA</t>
  </si>
  <si>
    <t>MG - VISCONDE DO RIO BRANCO</t>
  </si>
  <si>
    <t>MG - VOLTA GRANDE</t>
  </si>
  <si>
    <t>MG - WENCESLAU BRAZ</t>
  </si>
  <si>
    <t>PR - ABATIÁ</t>
  </si>
  <si>
    <t>PR - ADRIANÓPOLIS</t>
  </si>
  <si>
    <t>PR - AGUDOS DO SUL</t>
  </si>
  <si>
    <t>PR - ALMIRANTE TAMANDARÉ</t>
  </si>
  <si>
    <t>PR - ALTAMIRA DO PARANÁ</t>
  </si>
  <si>
    <t>PR - ALTO PARAÍSO</t>
  </si>
  <si>
    <t>PR - ALTO PARANÁ</t>
  </si>
  <si>
    <t>PR - ALTO PIQUIRI</t>
  </si>
  <si>
    <t>PR - ALTÔNIA</t>
  </si>
  <si>
    <t>PR - ALVORADA DO SUL</t>
  </si>
  <si>
    <t>PR - AMAPORÃ</t>
  </si>
  <si>
    <t>PR - AMPÉRE</t>
  </si>
  <si>
    <t>PR - ANAHY</t>
  </si>
  <si>
    <t>PR - ANDIRÁ</t>
  </si>
  <si>
    <t>PR - ÂNGULO</t>
  </si>
  <si>
    <t>PR - ANTONINA</t>
  </si>
  <si>
    <t>PR - ANTÔNIO OLINTO</t>
  </si>
  <si>
    <t>PR - APUCARANA</t>
  </si>
  <si>
    <t>PR - ARAPONGAS</t>
  </si>
  <si>
    <t>PR - ARAPOTI</t>
  </si>
  <si>
    <t>PR - ARAPUÃ</t>
  </si>
  <si>
    <t>PR - ARARUNA</t>
  </si>
  <si>
    <t>PR - ARAUCÁRIA</t>
  </si>
  <si>
    <t>PR - ARIRANHA DO IVAÍ</t>
  </si>
  <si>
    <t>PR - ASSAÍ</t>
  </si>
  <si>
    <t>PR - ASSIS CHATEAUBRIAND</t>
  </si>
  <si>
    <t>PR - ASTORGA</t>
  </si>
  <si>
    <t>PR - ATALAIA</t>
  </si>
  <si>
    <t>PR - BALSA NOVA</t>
  </si>
  <si>
    <t>PR - BANDEIRANTES</t>
  </si>
  <si>
    <t>PR - BARBOSA FERRAZ</t>
  </si>
  <si>
    <t>PR - BARRA DO JACARÉ</t>
  </si>
  <si>
    <t>PR - BARRACÃO</t>
  </si>
  <si>
    <t>PR - BELA VISTA DA CAROBA</t>
  </si>
  <si>
    <t>PR - BELA VISTA DO PARAÍSO</t>
  </si>
  <si>
    <t>PR - BITURUNA</t>
  </si>
  <si>
    <t>PR - BOA ESPERANÇA</t>
  </si>
  <si>
    <t>PR - BOA ESPERANÇA DO IGUAÇU</t>
  </si>
  <si>
    <t>PR - BOA VENTURA DE SÃO ROQUE</t>
  </si>
  <si>
    <t>PR - BOA VISTA DA APARECIDA</t>
  </si>
  <si>
    <t>PR - BOCAIÚVA DO SUL</t>
  </si>
  <si>
    <t>PR - BOM JESUS DO SUL</t>
  </si>
  <si>
    <t>PR - BOM SUCESSO</t>
  </si>
  <si>
    <t>PR - BOM SUCESSO DO SUL</t>
  </si>
  <si>
    <t>PR - BORRAZÓPOLIS</t>
  </si>
  <si>
    <t>PR - BRAGANEY</t>
  </si>
  <si>
    <t>PR - BRASILÂNDIA DO SUL</t>
  </si>
  <si>
    <t>PR - CAFEARA</t>
  </si>
  <si>
    <t>PR - CAFELÂNDIA</t>
  </si>
  <si>
    <t>PR - CAFEZAL DO SUL</t>
  </si>
  <si>
    <t>PR - CALIFÓRNIA</t>
  </si>
  <si>
    <t>PR - CAMBARÁ</t>
  </si>
  <si>
    <t>PR - CAMBÉ</t>
  </si>
  <si>
    <t>PR - CAMBIRA</t>
  </si>
  <si>
    <t>PR - CAMPINA DA LAGOA</t>
  </si>
  <si>
    <t>PR - CAMPINA DO SIMÃO</t>
  </si>
  <si>
    <t>PR - CAMPINA GRANDE DO SUL</t>
  </si>
  <si>
    <t>PR - CAMPO BONITO</t>
  </si>
  <si>
    <t>PR - CAMPO DO TENENTE</t>
  </si>
  <si>
    <t>PR - CAMPO LARGO</t>
  </si>
  <si>
    <t>PR - CAMPO MAGRO</t>
  </si>
  <si>
    <t>PR - CAMPO MOURÃO</t>
  </si>
  <si>
    <t>PR - CÂNDIDO DE ABREU</t>
  </si>
  <si>
    <t>PR - CANDÓI</t>
  </si>
  <si>
    <t>PR - CANTAGALO</t>
  </si>
  <si>
    <t>PR - CAPANEMA</t>
  </si>
  <si>
    <t>PR - CAPITÃO LEÔNIDAS MARQUES</t>
  </si>
  <si>
    <t>PR - CARAMBEÍ</t>
  </si>
  <si>
    <t>PR - CARLÓPOLIS</t>
  </si>
  <si>
    <t>PR - CASCAVEL</t>
  </si>
  <si>
    <t>PR - CASTRO</t>
  </si>
  <si>
    <t>PR - CATANDUVAS</t>
  </si>
  <si>
    <t>PR - CENTENÁRIO DO SUL</t>
  </si>
  <si>
    <t>PR - CERRO AZUL</t>
  </si>
  <si>
    <t>PR - CÉU AZUL</t>
  </si>
  <si>
    <t>PR - CHOPINZINHO</t>
  </si>
  <si>
    <t>PR - CIANORTE</t>
  </si>
  <si>
    <t>PR - CIDADE GAÚCHA</t>
  </si>
  <si>
    <t>PR - CLEVELÂNDIA</t>
  </si>
  <si>
    <t>PR - COLOMBO</t>
  </si>
  <si>
    <t>PR - COLORADO</t>
  </si>
  <si>
    <t>PR - CONGONHINHAS</t>
  </si>
  <si>
    <t>PR - CONSELHEIRO MAIRINCK</t>
  </si>
  <si>
    <t>PR - CONTENDA</t>
  </si>
  <si>
    <t>PR - CORBÉLIA</t>
  </si>
  <si>
    <t>PR - CORNÉLIO PROCÓPIO</t>
  </si>
  <si>
    <t>PR - CORONEL DOMINGOS SOARES</t>
  </si>
  <si>
    <t>PR - CORONEL VIVIDA</t>
  </si>
  <si>
    <t>PR - CORUMBATAÍ DO SUL</t>
  </si>
  <si>
    <t>PR - CRUZ MACHADO</t>
  </si>
  <si>
    <t>PR - CRUZEIRO DO IGUAÇU</t>
  </si>
  <si>
    <t>PR - CRUZEIRO DO OESTE</t>
  </si>
  <si>
    <t>PR - CRUZEIRO DO SUL</t>
  </si>
  <si>
    <t>PR - CRUZMALTINA</t>
  </si>
  <si>
    <t>PR - CURITIBA</t>
  </si>
  <si>
    <t>PR - CURIÚVA</t>
  </si>
  <si>
    <t>PR - DIAMANTE DO NORTE</t>
  </si>
  <si>
    <t>PR - DIAMANTE DO SUL</t>
  </si>
  <si>
    <t>PR - DIAMANTE D'OESTE</t>
  </si>
  <si>
    <t>PR - DOIS VIZINHOS</t>
  </si>
  <si>
    <t>PR - DOURADINA</t>
  </si>
  <si>
    <t>PR - DOUTOR CAMARGO</t>
  </si>
  <si>
    <t>PR - DOUTOR ULYSSES</t>
  </si>
  <si>
    <t>PR - ENÉAS MARQUES</t>
  </si>
  <si>
    <t>PR - ENGENHEIRO BELTRÃO</t>
  </si>
  <si>
    <t>PR - ENTRE RIOS DO OESTE</t>
  </si>
  <si>
    <t>PR - ESPERANÇA NOVA</t>
  </si>
  <si>
    <t>PR - ESPIGÃO ALTO DO IGUAÇU</t>
  </si>
  <si>
    <t>PR - FAROL</t>
  </si>
  <si>
    <t>PR - FAXINAL</t>
  </si>
  <si>
    <t>PR - FAZENDA RIO GRANDE</t>
  </si>
  <si>
    <t>PR - FÊNIX</t>
  </si>
  <si>
    <t>PR - FERNANDES PINHEIRO</t>
  </si>
  <si>
    <t>PR - FIGUEIRA</t>
  </si>
  <si>
    <t>PR - FLOR DA SERRA DO SUL</t>
  </si>
  <si>
    <t>PR - FLORAÍ</t>
  </si>
  <si>
    <t>PR - FLORESTA</t>
  </si>
  <si>
    <t>PR - FLORESTÓPOLIS</t>
  </si>
  <si>
    <t>PR - FLÓRIDA</t>
  </si>
  <si>
    <t>PR - FORMOSA DO OESTE</t>
  </si>
  <si>
    <t>PR - FOZ DO IGUAÇU</t>
  </si>
  <si>
    <t>PR - FOZ DO JORDÃO</t>
  </si>
  <si>
    <t>PR - FRANCISCO ALVES</t>
  </si>
  <si>
    <t>PR - FRANCISCO BELTRÃO</t>
  </si>
  <si>
    <t>PR - GENERAL CARNEIRO</t>
  </si>
  <si>
    <t>PR - GODOY MOREIRA</t>
  </si>
  <si>
    <t>PR - GOIOERÊ</t>
  </si>
  <si>
    <t>PR - GOIOXIM</t>
  </si>
  <si>
    <t>PR - GRANDES RIOS</t>
  </si>
  <si>
    <t>PR - GUAÍRA</t>
  </si>
  <si>
    <t>PR - GUAIRAÇÁ</t>
  </si>
  <si>
    <t>PR - GUAMIRANGA</t>
  </si>
  <si>
    <t>PR - GUAPIRAMA</t>
  </si>
  <si>
    <t>PR - GUAPOREMA</t>
  </si>
  <si>
    <t>PR - GUARACI</t>
  </si>
  <si>
    <t>PR - GUARANIAÇU</t>
  </si>
  <si>
    <t>PR - GUARAPUAVA</t>
  </si>
  <si>
    <t>PR - GUARAQUEÇABA</t>
  </si>
  <si>
    <t>PR - GUARATUBA</t>
  </si>
  <si>
    <t>PR - HONÓRIO SERPA</t>
  </si>
  <si>
    <t>PR - IBAITI</t>
  </si>
  <si>
    <t>PR - IBEMA</t>
  </si>
  <si>
    <t>PR - IBIPORÃ</t>
  </si>
  <si>
    <t>PR - ICARAÍMA</t>
  </si>
  <si>
    <t>PR - IGUARAÇU</t>
  </si>
  <si>
    <t>PR - IGUATU</t>
  </si>
  <si>
    <t>PR - IMBAÚ</t>
  </si>
  <si>
    <t>PR - IMBITUVA</t>
  </si>
  <si>
    <t>PR - INÁCIO MARTINS</t>
  </si>
  <si>
    <t>PR - INAJÁ</t>
  </si>
  <si>
    <t>PR - INDIANÓPOLIS</t>
  </si>
  <si>
    <t>PR - IPIRANGA</t>
  </si>
  <si>
    <t>PR - IPORÃ</t>
  </si>
  <si>
    <t>PR - IRACEMA DO OESTE</t>
  </si>
  <si>
    <t>PR - IRATI</t>
  </si>
  <si>
    <t>PR - IRETAMA</t>
  </si>
  <si>
    <t>PR - ITAGUAJÉ</t>
  </si>
  <si>
    <t>PR - ITAIPULÂNDIA</t>
  </si>
  <si>
    <t>PR - ITAMBARACÁ</t>
  </si>
  <si>
    <t>PR - ITAMBÉ</t>
  </si>
  <si>
    <t>PR - ITAPEJARA D'OESTE</t>
  </si>
  <si>
    <t>PR - ITAPERUÇU</t>
  </si>
  <si>
    <t>PR - ITAÚNA DO SUL</t>
  </si>
  <si>
    <t>PR - IVAÍ</t>
  </si>
  <si>
    <t>PR - IVAIPORÃ</t>
  </si>
  <si>
    <t>PR - IVATÉ</t>
  </si>
  <si>
    <t>PR - IVATUBA</t>
  </si>
  <si>
    <t>PR - JABOTI</t>
  </si>
  <si>
    <t>PR - JACAREZINHO</t>
  </si>
  <si>
    <t>PR - JAGUAPITÃ</t>
  </si>
  <si>
    <t>PR - JAGUARIAÍVA</t>
  </si>
  <si>
    <t>PR - JANDAIA DO SUL</t>
  </si>
  <si>
    <t>PR - JANIÓPOLIS</t>
  </si>
  <si>
    <t>PR - JAPIRA</t>
  </si>
  <si>
    <t>PR - JAPURÁ</t>
  </si>
  <si>
    <t>PR - JARDIM ALEGRE</t>
  </si>
  <si>
    <t>PR - JARDIM OLINDA</t>
  </si>
  <si>
    <t>PR - JATAIZINHO</t>
  </si>
  <si>
    <t>PR - JESUÍTAS</t>
  </si>
  <si>
    <t>PR - JOAQUIM TÁVORA</t>
  </si>
  <si>
    <t>PR - JUNDIAÍ DO SUL</t>
  </si>
  <si>
    <t>PR - JURANDA</t>
  </si>
  <si>
    <t>PR - JUSSARA</t>
  </si>
  <si>
    <t>PR - KALORÉ</t>
  </si>
  <si>
    <t>PR - LAPA</t>
  </si>
  <si>
    <t>PR - LARANJAL</t>
  </si>
  <si>
    <t>PR - LARANJEIRAS DO SUL</t>
  </si>
  <si>
    <t>PR - LEÓPOLIS</t>
  </si>
  <si>
    <t>PR - LIDIANÓPOLIS</t>
  </si>
  <si>
    <t>PR - LINDOESTE</t>
  </si>
  <si>
    <t>PR - LOANDA</t>
  </si>
  <si>
    <t>PR - LOBATO</t>
  </si>
  <si>
    <t>PR - LONDRINA</t>
  </si>
  <si>
    <t>PR - LUIZIANA</t>
  </si>
  <si>
    <t>PR - LUNARDELLI</t>
  </si>
  <si>
    <t>PR - LUPIONÓPOLIS</t>
  </si>
  <si>
    <t>PR - MALLET</t>
  </si>
  <si>
    <t>PR - MAMBORÊ</t>
  </si>
  <si>
    <t>PR - MANDAGUAÇU</t>
  </si>
  <si>
    <t>PR - MANDAGUARI</t>
  </si>
  <si>
    <t>PR - MANDIRITUBA</t>
  </si>
  <si>
    <t>PR - MANFRINÓPOLIS</t>
  </si>
  <si>
    <t>PR - MANGUEIRINHA</t>
  </si>
  <si>
    <t>PR - MANOEL RIBAS</t>
  </si>
  <si>
    <t>PR - MARECHAL CÂNDIDO RONDON</t>
  </si>
  <si>
    <t>PR - MARIA HELENA</t>
  </si>
  <si>
    <t>PR - MARIALVA</t>
  </si>
  <si>
    <t>PR - MARILÂNDIA DO SUL</t>
  </si>
  <si>
    <t>PR - MARILENA</t>
  </si>
  <si>
    <t>PR - MARILUZ</t>
  </si>
  <si>
    <t>PR - MARINGÁ</t>
  </si>
  <si>
    <t>PR - MARIÓPOLIS</t>
  </si>
  <si>
    <t>PR - MARIPÁ</t>
  </si>
  <si>
    <t>PR - MARMELEIRO</t>
  </si>
  <si>
    <t>PR - MARQUINHO</t>
  </si>
  <si>
    <t>PR - MARUMBI</t>
  </si>
  <si>
    <t>PR - MATELÂNDIA</t>
  </si>
  <si>
    <t>PR - MATINHOS</t>
  </si>
  <si>
    <t>PR - MATO RICO</t>
  </si>
  <si>
    <t>PR - MAUÁ DA SERRA</t>
  </si>
  <si>
    <t>PR - MEDIANEIRA</t>
  </si>
  <si>
    <t>PR - MERCEDES</t>
  </si>
  <si>
    <t>PR - MIRADOR</t>
  </si>
  <si>
    <t>PR - MIRASELVA</t>
  </si>
  <si>
    <t>PR - MISSAL</t>
  </si>
  <si>
    <t>PR - MOREIRA SALES</t>
  </si>
  <si>
    <t>PR - MORRETES</t>
  </si>
  <si>
    <t>PR - MUNHOZ DE MELO</t>
  </si>
  <si>
    <t>PR - NOSSA SENHORA DAS GRAÇAS</t>
  </si>
  <si>
    <t>PR - NOVA ALIANÇA DO IVAÍ</t>
  </si>
  <si>
    <t>PR - NOVA AMÉRICA DA COLINA</t>
  </si>
  <si>
    <t>PR - NOVA AURORA</t>
  </si>
  <si>
    <t>PR - NOVA CANTU</t>
  </si>
  <si>
    <t>PR - NOVA ESPERANÇA</t>
  </si>
  <si>
    <t>PR - NOVA ESPERANÇA DO SUDOESTE</t>
  </si>
  <si>
    <t>PR - NOVA FÁTIMA</t>
  </si>
  <si>
    <t>PR - NOVA LARANJEIRAS</t>
  </si>
  <si>
    <t>PR - NOVA LONDRINA</t>
  </si>
  <si>
    <t>PR - NOVA OLÍMPIA</t>
  </si>
  <si>
    <t>PR - NOVA PRATA DO IGUAÇU</t>
  </si>
  <si>
    <t>PR - NOVA SANTA BÁRBARA</t>
  </si>
  <si>
    <t>PR - NOVA SANTA ROSA</t>
  </si>
  <si>
    <t>PR - NOVA TEBAS</t>
  </si>
  <si>
    <t>PR - NOVO ITACOLOMI</t>
  </si>
  <si>
    <t>PR - ORTIGUEIRA</t>
  </si>
  <si>
    <t>PR - OURIZONA</t>
  </si>
  <si>
    <t>PR - OURO VERDE DO OESTE</t>
  </si>
  <si>
    <t>PR - PAIÇANDU</t>
  </si>
  <si>
    <t>PR - PALMAS</t>
  </si>
  <si>
    <t>PR - PALMEIRA</t>
  </si>
  <si>
    <t>PR - PALMITAL</t>
  </si>
  <si>
    <t>PR - PALOTINA</t>
  </si>
  <si>
    <t>PR - PARAÍSO DO NORTE</t>
  </si>
  <si>
    <t>PR - PARANACITY</t>
  </si>
  <si>
    <t>PR - PARANAGUÁ</t>
  </si>
  <si>
    <t>PR - PARANAPOEMA</t>
  </si>
  <si>
    <t>PR - PARANAVAÍ</t>
  </si>
  <si>
    <t>PR - PATO BRAGADO</t>
  </si>
  <si>
    <t>PR - PATO BRANCO</t>
  </si>
  <si>
    <t>PR - PAULA FREITAS</t>
  </si>
  <si>
    <t>PR - PAULO FRONTIN</t>
  </si>
  <si>
    <t>PR - PEABIRU</t>
  </si>
  <si>
    <t>PR - PEROBAL</t>
  </si>
  <si>
    <t>PR - PÉROLA</t>
  </si>
  <si>
    <t>PR - PÉROLA D'OESTE</t>
  </si>
  <si>
    <t>PR - PIÊN</t>
  </si>
  <si>
    <t>PR - PINHAIS</t>
  </si>
  <si>
    <t>PR - PINHAL DE SÃO BENTO</t>
  </si>
  <si>
    <t>PR - PINHALÃO</t>
  </si>
  <si>
    <t>PR - PINHÃO</t>
  </si>
  <si>
    <t>PR - PIRAÍ DO SUL</t>
  </si>
  <si>
    <t>PR - PIRAQUARA</t>
  </si>
  <si>
    <t>PR - PITANGA</t>
  </si>
  <si>
    <t>PR - PITANGUEIRAS</t>
  </si>
  <si>
    <t>PR - PLANALTINA DO PARANÁ</t>
  </si>
  <si>
    <t>PR - PLANALTO</t>
  </si>
  <si>
    <t>PR - PONTA GROSSA</t>
  </si>
  <si>
    <t>PR - PONTAL DO PARANÁ</t>
  </si>
  <si>
    <t>PR - PORECATU</t>
  </si>
  <si>
    <t>PR - PORTO AMAZONAS</t>
  </si>
  <si>
    <t>PR - PORTO BARREIRO</t>
  </si>
  <si>
    <t>PR - PORTO RICO</t>
  </si>
  <si>
    <t>PR - PORTO VITÓRIA</t>
  </si>
  <si>
    <t>PR - PRADO FERREIRA</t>
  </si>
  <si>
    <t>PR - PRANCHITA</t>
  </si>
  <si>
    <t>PR - PRESIDENTE CASTELO BRANCO</t>
  </si>
  <si>
    <t>PR - PRIMEIRO DE MAIO</t>
  </si>
  <si>
    <t>PR - PRUDENTÓPOLIS</t>
  </si>
  <si>
    <t>PR - QUARTO CENTENÁRIO</t>
  </si>
  <si>
    <t>PR - QUATIGUÁ</t>
  </si>
  <si>
    <t>PR - QUATRO BARRAS</t>
  </si>
  <si>
    <t>PR - QUATRO PONTES</t>
  </si>
  <si>
    <t>PR - QUEDAS DO IGUAÇU</t>
  </si>
  <si>
    <t>PR - QUERÊNCIA DO NORTE</t>
  </si>
  <si>
    <t>PR - QUINTA DO SOL</t>
  </si>
  <si>
    <t>PR - QUITANDINHA</t>
  </si>
  <si>
    <t>PR - RAMILÂNDIA</t>
  </si>
  <si>
    <t>PR - RANCHO ALEGRE</t>
  </si>
  <si>
    <t>PR - RANCHO ALEGRE D'OESTE</t>
  </si>
  <si>
    <t>PR - REALEZA</t>
  </si>
  <si>
    <t>PR - REBOUÇAS</t>
  </si>
  <si>
    <t>PR - RENASCENÇA</t>
  </si>
  <si>
    <t>PR - RESERVA</t>
  </si>
  <si>
    <t>PR - RESERVA DO IGUAÇU</t>
  </si>
  <si>
    <t>PR - RIBEIRÃO CLARO</t>
  </si>
  <si>
    <t>PR - RIBEIRÃO DO PINHAL</t>
  </si>
  <si>
    <t>PR - RIO AZUL</t>
  </si>
  <si>
    <t>PR - RIO BOM</t>
  </si>
  <si>
    <t>PR - RIO BONITO DO IGUAÇU</t>
  </si>
  <si>
    <t>PR - RIO BRANCO DO IVAÍ</t>
  </si>
  <si>
    <t>PR - RIO BRANCO DO SUL</t>
  </si>
  <si>
    <t>PR - RIO NEGRO</t>
  </si>
  <si>
    <t>PR - ROLÂNDIA</t>
  </si>
  <si>
    <t>PR - RONCADOR</t>
  </si>
  <si>
    <t>PR - RONDON</t>
  </si>
  <si>
    <t>PR - ROSÁRIO DO IVAÍ</t>
  </si>
  <si>
    <t>PR - SABÁUDIA</t>
  </si>
  <si>
    <t>PR - SALGADO FILHO</t>
  </si>
  <si>
    <t>PR - SALTO DO ITARARÉ</t>
  </si>
  <si>
    <t>PR - SALTO DO LONTRA</t>
  </si>
  <si>
    <t>PR - SANTA AMÉLIA</t>
  </si>
  <si>
    <t>PR - SANTA CECÍLIA DO PAVÃO</t>
  </si>
  <si>
    <t>PR - SANTA CRUZ DE MONTE CASTELO</t>
  </si>
  <si>
    <t>PR - SANTA FÉ</t>
  </si>
  <si>
    <t>PR - SANTA HELENA</t>
  </si>
  <si>
    <t>PR - SANTA INÊS</t>
  </si>
  <si>
    <t>PR - SANTA ISABEL DO IVAÍ</t>
  </si>
  <si>
    <t>PR - SANTA IZABEL DO OESTE</t>
  </si>
  <si>
    <t>PR - SANTA LÚCIA</t>
  </si>
  <si>
    <t>PR - SANTA MARIA DO OESTE</t>
  </si>
  <si>
    <t>PR - SANTA MARIANA</t>
  </si>
  <si>
    <t>PR - SANTA MÔNICA</t>
  </si>
  <si>
    <t>PR - SANTA TEREZA DO OESTE</t>
  </si>
  <si>
    <t>PR - SANTA TEREZINHA DE ITAIPU</t>
  </si>
  <si>
    <t>PR - SANTANA DO ITARARÉ</t>
  </si>
  <si>
    <t>PR - SANTO ANTÔNIO DA PLATINA</t>
  </si>
  <si>
    <t>PR - SANTO ANTÔNIO DO CAIUÁ</t>
  </si>
  <si>
    <t>PR - SANTO ANTÔNIO DO PARAÍSO</t>
  </si>
  <si>
    <t>PR - SANTO ANTÔNIO DO SUDOESTE</t>
  </si>
  <si>
    <t>PR - SANTO INÁCIO</t>
  </si>
  <si>
    <t>PR - SÃO CARLOS DO IVAÍ</t>
  </si>
  <si>
    <t>PR - SÃO JERÔNIMO DA SERRA</t>
  </si>
  <si>
    <t>PR - SÃO JOÃO</t>
  </si>
  <si>
    <t>PR - SÃO JOÃO DO CAIUÁ</t>
  </si>
  <si>
    <t>PR - SÃO JOÃO DO IVAÍ</t>
  </si>
  <si>
    <t>PR - SÃO JOÃO DO TRIUNFO</t>
  </si>
  <si>
    <t>PR - SÃO JORGE DO IVAÍ</t>
  </si>
  <si>
    <t>PR - SÃO JORGE DO PATROCÍNIO</t>
  </si>
  <si>
    <t>PR - SÃO JORGE D'OESTE</t>
  </si>
  <si>
    <t>PR - SÃO JOSÉ DA BOA VISTA</t>
  </si>
  <si>
    <t>PR - SÃO JOSÉ DAS PALMEIRAS</t>
  </si>
  <si>
    <t>PR - SÃO JOSÉ DOS PINHAIS</t>
  </si>
  <si>
    <t>PR - SÃO MANOEL DO PARANÁ</t>
  </si>
  <si>
    <t>PR - SÃO MATEUS DO SUL</t>
  </si>
  <si>
    <t>PR - SÃO MIGUEL DO IGUAÇU</t>
  </si>
  <si>
    <t>PR - SÃO PEDRO DO IGUAÇU</t>
  </si>
  <si>
    <t>PR - SÃO PEDRO DO IVAÍ</t>
  </si>
  <si>
    <t>PR - SÃO PEDRO DO PARANÁ</t>
  </si>
  <si>
    <t>PR - SÃO SEBASTIÃO DA AMOREIRA</t>
  </si>
  <si>
    <t>PR - SÃO TOMÉ</t>
  </si>
  <si>
    <t>PR - SAPOPEMA</t>
  </si>
  <si>
    <t>PR - SARANDI</t>
  </si>
  <si>
    <t>PR - SAUDADE DO IGUAÇU</t>
  </si>
  <si>
    <t>PR - SENGÉS</t>
  </si>
  <si>
    <t>PR - SERRANÓPOLIS DO IGUAÇU</t>
  </si>
  <si>
    <t>PR - SERTANEJA</t>
  </si>
  <si>
    <t>PR - SERTANÓPOLIS</t>
  </si>
  <si>
    <t>PR - SIQUEIRA CAMPOS</t>
  </si>
  <si>
    <t>PR - SULINA</t>
  </si>
  <si>
    <t>PR - TAMARANA</t>
  </si>
  <si>
    <t>PR - TAMBOARA</t>
  </si>
  <si>
    <t>PR - TAPEJARA</t>
  </si>
  <si>
    <t>PR - TAPIRA</t>
  </si>
  <si>
    <t>PR - TEIXEIRA SOARES</t>
  </si>
  <si>
    <t>PR - TELÊMACO BORBA</t>
  </si>
  <si>
    <t>PR - TERRA BOA</t>
  </si>
  <si>
    <t>PR - TERRA RICA</t>
  </si>
  <si>
    <t>PR - TERRA ROXA</t>
  </si>
  <si>
    <t>PR - TIBAGI</t>
  </si>
  <si>
    <t>PR - TIJUCAS DO SUL</t>
  </si>
  <si>
    <t>PR - TOLEDO</t>
  </si>
  <si>
    <t>PR - TOMAZINA</t>
  </si>
  <si>
    <t>PR - TRÊS BARRAS DO PARANÁ</t>
  </si>
  <si>
    <t>PR - TUNAS DO PARANÁ</t>
  </si>
  <si>
    <t>PR - TUNEIRAS DO OESTE</t>
  </si>
  <si>
    <t>PR - TUPÃSSI</t>
  </si>
  <si>
    <t>PR - TURVO</t>
  </si>
  <si>
    <t>PR - UBIRATÃ</t>
  </si>
  <si>
    <t>PR - UMUARAMA</t>
  </si>
  <si>
    <t>PR - UNIÃO DA VITÓRIA</t>
  </si>
  <si>
    <t>PR - UNIFLOR</t>
  </si>
  <si>
    <t>PR - URAÍ</t>
  </si>
  <si>
    <t>PR - VENTANIA</t>
  </si>
  <si>
    <t>PR - VERA CRUZ DO OESTE</t>
  </si>
  <si>
    <t>PR - VERÊ</t>
  </si>
  <si>
    <t>PR - VIRMOND</t>
  </si>
  <si>
    <t>PR - VITORINO</t>
  </si>
  <si>
    <t>PR - WENCESLAU BRAZ</t>
  </si>
  <si>
    <t>PR - XAMBRÊ</t>
  </si>
  <si>
    <t>RS - ACEGUÁ</t>
  </si>
  <si>
    <t>RS - ÁGUA SANTA</t>
  </si>
  <si>
    <t>RS - AGUDO</t>
  </si>
  <si>
    <t>RS - AJURICABA</t>
  </si>
  <si>
    <t>RS - ALECRIM</t>
  </si>
  <si>
    <t>RS - ALEGRETE</t>
  </si>
  <si>
    <t>RS - ALEGRIA</t>
  </si>
  <si>
    <t>RS - ALMIRANTE TAMANDARÉ DO SUL</t>
  </si>
  <si>
    <t>RS - ALPESTRE</t>
  </si>
  <si>
    <t>RS - ALTO ALEGRE</t>
  </si>
  <si>
    <t>RS - ALTO FELIZ</t>
  </si>
  <si>
    <t>RS - ALVORADA</t>
  </si>
  <si>
    <t>RS - AMARAL FERRADOR</t>
  </si>
  <si>
    <t>RS - AMETISTA DO SUL</t>
  </si>
  <si>
    <t>RS - ANDRÉ DA ROCHA</t>
  </si>
  <si>
    <t>RS - ANTA GORDA</t>
  </si>
  <si>
    <t>RS - ANTÔNIO PRADO</t>
  </si>
  <si>
    <t>RS - ARAMBARÉ</t>
  </si>
  <si>
    <t>RS - ARARICÁ</t>
  </si>
  <si>
    <t>RS - ARATIBA</t>
  </si>
  <si>
    <t>RS - ARROIO DO MEIO</t>
  </si>
  <si>
    <t>RS - ARROIO DO PADRE</t>
  </si>
  <si>
    <t>RS - ARROIO DO SAL</t>
  </si>
  <si>
    <t>RS - ARROIO DO TIGRE</t>
  </si>
  <si>
    <t>RS - ARROIO DOS RATOS</t>
  </si>
  <si>
    <t>RS - ARROIO GRANDE</t>
  </si>
  <si>
    <t>RS - ARVOREZINHA</t>
  </si>
  <si>
    <t>RS - AUGUSTO PESTANA</t>
  </si>
  <si>
    <t>RS - ÁUREA</t>
  </si>
  <si>
    <t>RS - BAGÉ</t>
  </si>
  <si>
    <t>RS - BALNEÁRIO PINHAL</t>
  </si>
  <si>
    <t>RS - BARÃO</t>
  </si>
  <si>
    <t>RS - Barão de Cotegipe</t>
  </si>
  <si>
    <t>RS - BARÃO DO TRIUNFO</t>
  </si>
  <si>
    <t>RS - BARRA DO GUARITA</t>
  </si>
  <si>
    <t>RS - BARRA DO QUARAÍ</t>
  </si>
  <si>
    <t>RS - BARRA DO RIBEIRO</t>
  </si>
  <si>
    <t>RS - BARRA DO RIO AZUL</t>
  </si>
  <si>
    <t>RS - BARRA FUNDA</t>
  </si>
  <si>
    <t>RS - BARRACÃO</t>
  </si>
  <si>
    <t>RS - BARROS CASSAL</t>
  </si>
  <si>
    <t>RS - BENJAMIN CONSTANT DO SUL</t>
  </si>
  <si>
    <t>RS - BENTO GONÇALVES</t>
  </si>
  <si>
    <t>RS - BOA VISTA DAS MISSÕES</t>
  </si>
  <si>
    <t>RS - BOA VISTA DO BURICÁ</t>
  </si>
  <si>
    <t>RS - BOA VISTA DO CADEADO</t>
  </si>
  <si>
    <t>RS - BOA VISTA DO INCRA</t>
  </si>
  <si>
    <t>RS - BOA VISTA DO SUL</t>
  </si>
  <si>
    <t>RS - BOM JESUS</t>
  </si>
  <si>
    <t>RS - BOM PRINCÍPIO</t>
  </si>
  <si>
    <t>RS - BOM PROGRESSO</t>
  </si>
  <si>
    <t>RS - BOM RETIRO DO SUL</t>
  </si>
  <si>
    <t>RS - BOQUEIRÃO DO LEÃO</t>
  </si>
  <si>
    <t>RS - BOSSOROCA</t>
  </si>
  <si>
    <t>RS - BOZANO</t>
  </si>
  <si>
    <t>RS - BRAGA</t>
  </si>
  <si>
    <t>RS - BROCHIER</t>
  </si>
  <si>
    <t>RS - BUTIÁ</t>
  </si>
  <si>
    <t>RS - CAÇAPAVA DO SUL</t>
  </si>
  <si>
    <t>RS - CACEQUI</t>
  </si>
  <si>
    <t>RS - CACHOEIRA DO SUL</t>
  </si>
  <si>
    <t>RS - CACHOEIRINHA</t>
  </si>
  <si>
    <t>RS - CACIQUE DOBLE</t>
  </si>
  <si>
    <t>RS - CAIBATÉ</t>
  </si>
  <si>
    <t>RS - CAIÇARA</t>
  </si>
  <si>
    <t>RS - CAMAQUÃ</t>
  </si>
  <si>
    <t>RS - CAMARGO</t>
  </si>
  <si>
    <t>RS - CAMBARÁ DO SUL</t>
  </si>
  <si>
    <t>RS - CAMPESTRE DA SERRA</t>
  </si>
  <si>
    <t>RS - CAMPINA DAS MISSÕES</t>
  </si>
  <si>
    <t>RS - CAMPINAS DO SUL</t>
  </si>
  <si>
    <t>RS - CAMPO BOM</t>
  </si>
  <si>
    <t>RS - CAMPO NOVO</t>
  </si>
  <si>
    <t>RS - CAMPOS BORGES</t>
  </si>
  <si>
    <t>RS - CANDELÁRIA</t>
  </si>
  <si>
    <t>RS - CÂNDIDO GODÓI</t>
  </si>
  <si>
    <t>RS - CANDIOTA</t>
  </si>
  <si>
    <t>RS - CANELA</t>
  </si>
  <si>
    <t>RS - CANGUÇU</t>
  </si>
  <si>
    <t>RS - CANOAS</t>
  </si>
  <si>
    <t>RS - CANUDOS DO VALE</t>
  </si>
  <si>
    <t>RS - CAPÃO BONITO DO SUL</t>
  </si>
  <si>
    <t>RS - CAPÃO DA CANOA</t>
  </si>
  <si>
    <t>RS - CAPÃO DO CIPÓ</t>
  </si>
  <si>
    <t>RS - CAPÃO DO LEÃO</t>
  </si>
  <si>
    <t>RS - CAPELA DE SANTANA</t>
  </si>
  <si>
    <t>RS - CAPITÃO</t>
  </si>
  <si>
    <t>RS - CAPIVARI DO SUL</t>
  </si>
  <si>
    <t>RS - CARAÁ</t>
  </si>
  <si>
    <t>RS - CARAZINHO</t>
  </si>
  <si>
    <t>RS - CARLOS BARBOSA</t>
  </si>
  <si>
    <t>RS - CARLOS GOMES</t>
  </si>
  <si>
    <t>RS - CASCA</t>
  </si>
  <si>
    <t>RS - CASEIROS</t>
  </si>
  <si>
    <t>RS - CATUÍPE</t>
  </si>
  <si>
    <t>RS - CAXIAS DO SUL</t>
  </si>
  <si>
    <t>RS - CENTENÁRIO</t>
  </si>
  <si>
    <t>RS - CERRITO</t>
  </si>
  <si>
    <t>RS - CERRO BRANCO</t>
  </si>
  <si>
    <t>RS - CERRO GRANDE</t>
  </si>
  <si>
    <t>RS - CERRO GRANDE DO SUL</t>
  </si>
  <si>
    <t>RS - CERRO LARGO</t>
  </si>
  <si>
    <t>RS - CHAPADA</t>
  </si>
  <si>
    <t>RS - CHARQUEADAS</t>
  </si>
  <si>
    <t>RS - CHARRUA</t>
  </si>
  <si>
    <t>RS - CHIAPETTA</t>
  </si>
  <si>
    <t>RS - CHUÍ</t>
  </si>
  <si>
    <t>RS - CHUVISCA</t>
  </si>
  <si>
    <t>RS - CIDREIRA</t>
  </si>
  <si>
    <t>RS - CIRÍACO</t>
  </si>
  <si>
    <t>RS - COLINAS</t>
  </si>
  <si>
    <t>RS - COLORADO</t>
  </si>
  <si>
    <t>RS - CONDOR</t>
  </si>
  <si>
    <t>RS - CONSTANTINA</t>
  </si>
  <si>
    <t>RS - COQUEIRO BAIXO</t>
  </si>
  <si>
    <t>RS - COQUEIROS DO SUL</t>
  </si>
  <si>
    <t>RS - CORONEL BARROS</t>
  </si>
  <si>
    <t>RS - CORONEL BICACO</t>
  </si>
  <si>
    <t>RS - CORONEL PILAR</t>
  </si>
  <si>
    <t>RS - COTIPORÃ</t>
  </si>
  <si>
    <t>RS - COXILHA</t>
  </si>
  <si>
    <t>RS - CRISSIUMAL</t>
  </si>
  <si>
    <t>RS - CRISTAL</t>
  </si>
  <si>
    <t>RS - CRISTAL DO SUL</t>
  </si>
  <si>
    <t>RS - CRUZ ALTA</t>
  </si>
  <si>
    <t>RS - CRUZALTENSE</t>
  </si>
  <si>
    <t>RS - CRUZEIRO DO SUL</t>
  </si>
  <si>
    <t>RS - DAVID CANABARRO</t>
  </si>
  <si>
    <t>RS - DERRUBADAS</t>
  </si>
  <si>
    <t>RS - DEZESSEIS DE NOVEMBRO</t>
  </si>
  <si>
    <t>RS - DILERMANDO DE AGUIAR</t>
  </si>
  <si>
    <t>RS - DOIS IRMÃOS</t>
  </si>
  <si>
    <t>RS - DOIS IRMÃOS DAS MISSÕES</t>
  </si>
  <si>
    <t>RS - DOIS LAJEADOS</t>
  </si>
  <si>
    <t>RS - DOM FELICIANO</t>
  </si>
  <si>
    <t>RS - DOM PEDRITO</t>
  </si>
  <si>
    <t>RS - DOM PEDRO DE ALCÂNTARA</t>
  </si>
  <si>
    <t>RS - DONA FRANCISCA</t>
  </si>
  <si>
    <t>RS - DOUTOR MAURÍCIO CARDOSO</t>
  </si>
  <si>
    <t>RS - DOUTOR RICARDO</t>
  </si>
  <si>
    <t>RS - ELDORADO DO SUL</t>
  </si>
  <si>
    <t>RS - ENCANTADO</t>
  </si>
  <si>
    <t>RS - ENCRUZILHADA DO SUL</t>
  </si>
  <si>
    <t>RS - ENGENHO VELHO</t>
  </si>
  <si>
    <t>RS - ENTRE RIOS DO SUL</t>
  </si>
  <si>
    <t>RS - ENTRE-IJUÍS</t>
  </si>
  <si>
    <t>RS - EREBANGO</t>
  </si>
  <si>
    <t>RS - ERECHIM</t>
  </si>
  <si>
    <t>RS - ERNESTINA</t>
  </si>
  <si>
    <t>RS - ERVAL GRANDE</t>
  </si>
  <si>
    <t>RS - ERVAL SECO</t>
  </si>
  <si>
    <t>RS - ESMERALDA</t>
  </si>
  <si>
    <t>RS - ESPERANÇA DO SUL</t>
  </si>
  <si>
    <t>RS - ESPUMOSO</t>
  </si>
  <si>
    <t>RS - ESTAÇÃO</t>
  </si>
  <si>
    <t>RS - ESTÂNCIA VELHA</t>
  </si>
  <si>
    <t>RS - ESTEIO</t>
  </si>
  <si>
    <t>RS - ESTRELA</t>
  </si>
  <si>
    <t>RS - ESTRELA VELHA</t>
  </si>
  <si>
    <t>RS - EUGÊNIO DE CASTRO</t>
  </si>
  <si>
    <t>RS - FAGUNDES VARELA</t>
  </si>
  <si>
    <t>RS - FARROUPILHA</t>
  </si>
  <si>
    <t>RS - FAXINAL DO SOTURNO</t>
  </si>
  <si>
    <t>RS - FAXINALZINHO</t>
  </si>
  <si>
    <t>RS - FAZENDA VILANOVA</t>
  </si>
  <si>
    <t>RS - FELIZ</t>
  </si>
  <si>
    <t>RS - FLORES DA CUNHA</t>
  </si>
  <si>
    <t>RS - FLORIANO PEIXOTO</t>
  </si>
  <si>
    <t>RS - FONTOURA XAVIER</t>
  </si>
  <si>
    <t>RS - FORMIGUEIRO</t>
  </si>
  <si>
    <t>RS - FORQUETINHA</t>
  </si>
  <si>
    <t>RS - FORTALEZA DOS VALOS</t>
  </si>
  <si>
    <t>RS - FREDERICO WESTPHALEN</t>
  </si>
  <si>
    <t>RS - GARIBALDI</t>
  </si>
  <si>
    <t>RS - GARRUCHOS</t>
  </si>
  <si>
    <t>RS - GAURAMA</t>
  </si>
  <si>
    <t>RS - GENERAL CÂMARA</t>
  </si>
  <si>
    <t>RS - GENTIL</t>
  </si>
  <si>
    <t>RS - GETÚLIO VARGAS</t>
  </si>
  <si>
    <t>RS - GIRUÁ</t>
  </si>
  <si>
    <t>RS - GLORINHA</t>
  </si>
  <si>
    <t>RS - GRAMADO</t>
  </si>
  <si>
    <t>RS - GRAMADO DOS LOUREIROS</t>
  </si>
  <si>
    <t>RS - GRAMADO XAVIER</t>
  </si>
  <si>
    <t>RS - GRAVATAÍ</t>
  </si>
  <si>
    <t>RS - GUABIJU</t>
  </si>
  <si>
    <t>RS - GUAÍBA</t>
  </si>
  <si>
    <t>RS - GUAPORÉ</t>
  </si>
  <si>
    <t>RS - GUARANI DAS MISSÕES</t>
  </si>
  <si>
    <t>RS - HARMONIA</t>
  </si>
  <si>
    <t>RS - HERVAL</t>
  </si>
  <si>
    <t>RS - HERVEIRAS</t>
  </si>
  <si>
    <t>RS - HORIZONTINA</t>
  </si>
  <si>
    <t>RS - HULHA NEGRA</t>
  </si>
  <si>
    <t>RS - HUMAITÁ</t>
  </si>
  <si>
    <t>RS - IBARAMA</t>
  </si>
  <si>
    <t>RS - IBIAÇÁ</t>
  </si>
  <si>
    <t>RS - IBIRAIARAS</t>
  </si>
  <si>
    <t>RS - IBIRAPUITÃ</t>
  </si>
  <si>
    <t>RS - IBIRUBÁ</t>
  </si>
  <si>
    <t>RS - IGREJINHA</t>
  </si>
  <si>
    <t>RS - IJUÍ</t>
  </si>
  <si>
    <t>RS - ILÓPOLIS</t>
  </si>
  <si>
    <t>RS - IMBÉ</t>
  </si>
  <si>
    <t>RS - IMIGRANTE</t>
  </si>
  <si>
    <t>RS - INDEPENDÊNCIA</t>
  </si>
  <si>
    <t>RS - INHACORÁ</t>
  </si>
  <si>
    <t>RS - IPÊ</t>
  </si>
  <si>
    <t>RS - IPIRANGA DO SUL</t>
  </si>
  <si>
    <t>RS - IRAÍ</t>
  </si>
  <si>
    <t>RS - ITAARA</t>
  </si>
  <si>
    <t>RS - ITACURUBI</t>
  </si>
  <si>
    <t>RS - ITAPUCA</t>
  </si>
  <si>
    <t>RS - ITAQUI</t>
  </si>
  <si>
    <t>RS - ITATI</t>
  </si>
  <si>
    <t>RS - ITATIBA DO SUL</t>
  </si>
  <si>
    <t>RS - IVORÁ</t>
  </si>
  <si>
    <t>RS - IVOTI</t>
  </si>
  <si>
    <t>RS - JABOTICABA</t>
  </si>
  <si>
    <t>RS - JACUIZINHO</t>
  </si>
  <si>
    <t>RS - JACUTINGA</t>
  </si>
  <si>
    <t>RS - JAGUARÃO</t>
  </si>
  <si>
    <t>RS - JAGUARI</t>
  </si>
  <si>
    <t>RS - JAQUIRANA</t>
  </si>
  <si>
    <t>RS - JARI</t>
  </si>
  <si>
    <t>RS - JÓIA</t>
  </si>
  <si>
    <t>RS - JÚLIO DE CASTILHOS</t>
  </si>
  <si>
    <t>RS - LAGOA BONITA DO SUL</t>
  </si>
  <si>
    <t>RS - LAGOA DOS TRÊS CANTOS</t>
  </si>
  <si>
    <t>RS - LAGOA VERMELHA</t>
  </si>
  <si>
    <t>RS - LAGOÃO</t>
  </si>
  <si>
    <t>RS - LAJEADO</t>
  </si>
  <si>
    <t>RS - LAJEADO DO BUGRE</t>
  </si>
  <si>
    <t>RS - LAVRAS DO SUL</t>
  </si>
  <si>
    <t>RS - LIBERATO SALZANO</t>
  </si>
  <si>
    <t>RS - LINDOLFO COLLOR</t>
  </si>
  <si>
    <t>RS - LINHA NOVA</t>
  </si>
  <si>
    <t>RS - MAÇAMBARÁ</t>
  </si>
  <si>
    <t>RS - MACHADINHO</t>
  </si>
  <si>
    <t>RS - MAMPITUBA</t>
  </si>
  <si>
    <t>RS - MANOEL VIANA</t>
  </si>
  <si>
    <t>RS - MAQUINÉ</t>
  </si>
  <si>
    <t>RS - MARATÁ</t>
  </si>
  <si>
    <t>RS - MARAU</t>
  </si>
  <si>
    <t>RS - MARCELINO RAMOS</t>
  </si>
  <si>
    <t>RS - MARIANA PIMENTEL</t>
  </si>
  <si>
    <t>RS - MARIANO MORO</t>
  </si>
  <si>
    <t>RS - MARQUES DE SOUZA</t>
  </si>
  <si>
    <t>RS - MATA</t>
  </si>
  <si>
    <t>RS - MATO CASTELHANO</t>
  </si>
  <si>
    <t>RS - MATO LEITÃO</t>
  </si>
  <si>
    <t>RS - MATO QUEIMADO</t>
  </si>
  <si>
    <t>RS - MAXIMILIANO DE ALMEIDA</t>
  </si>
  <si>
    <t>RS - MINAS DO LEÃO</t>
  </si>
  <si>
    <t>RS - MIRAGUAÍ</t>
  </si>
  <si>
    <t>RS - MONTAURI</t>
  </si>
  <si>
    <t>RS - MONTE ALEGRE DOS CAMPOS</t>
  </si>
  <si>
    <t>RS - MONTE BELO DO SUL</t>
  </si>
  <si>
    <t>RS - MONTENEGRO</t>
  </si>
  <si>
    <t>RS - MORMAÇO</t>
  </si>
  <si>
    <t>RS - MORRINHOS DO SUL</t>
  </si>
  <si>
    <t>RS - MORRO REDONDO</t>
  </si>
  <si>
    <t>RS - MORRO REUTER</t>
  </si>
  <si>
    <t>RS - MOSTARDAS</t>
  </si>
  <si>
    <t>RS - MUÇUM</t>
  </si>
  <si>
    <t>RS - MUITOS CAPÕES</t>
  </si>
  <si>
    <t>RS - MULITERNO</t>
  </si>
  <si>
    <t>RS - NÃO-ME-TOQUE</t>
  </si>
  <si>
    <t>RS - NICOLAU VERGUEIRO</t>
  </si>
  <si>
    <t>RS - NONOAI</t>
  </si>
  <si>
    <t>RS - NOVA ALVORADA</t>
  </si>
  <si>
    <t>RS - NOVA ARAÇÁ</t>
  </si>
  <si>
    <t>RS - NOVA BASSANO</t>
  </si>
  <si>
    <t>RS - NOVA BOA VISTA</t>
  </si>
  <si>
    <t>RS - NOVA BRÉSCIA</t>
  </si>
  <si>
    <t>RS - NOVA CANDELÁRIA</t>
  </si>
  <si>
    <t>RS - NOVA ESPERANÇA DO SUL</t>
  </si>
  <si>
    <t>RS - NOVA HARTZ</t>
  </si>
  <si>
    <t>RS - NOVA PÁDUA</t>
  </si>
  <si>
    <t>RS - NOVA PALMA</t>
  </si>
  <si>
    <t>RS - NOVA PETRÓPOLIS</t>
  </si>
  <si>
    <t>RS - NOVA PRATA</t>
  </si>
  <si>
    <t>RS - NOVA RAMADA</t>
  </si>
  <si>
    <t>RS - NOVA ROMA DO SUL</t>
  </si>
  <si>
    <t>RS - NOVA SANTA RITA</t>
  </si>
  <si>
    <t>RS - NOVO BARREIRO</t>
  </si>
  <si>
    <t>RS - NOVO CABRAIS</t>
  </si>
  <si>
    <t>RS - NOVO HAMBURGO</t>
  </si>
  <si>
    <t>RS - NOVO MACHADO</t>
  </si>
  <si>
    <t>RS - NOVO TIRADENTES</t>
  </si>
  <si>
    <t>RS - NOVO XINGU</t>
  </si>
  <si>
    <t>RS - OSÓRIO</t>
  </si>
  <si>
    <t>RS - PAIM FILHO</t>
  </si>
  <si>
    <t>RS - PALMARES DO SUL</t>
  </si>
  <si>
    <t>RS - PALMEIRA DAS MISSÕES</t>
  </si>
  <si>
    <t>RS - PALMITINHO</t>
  </si>
  <si>
    <t>RS - PANAMBI</t>
  </si>
  <si>
    <t>RS - PANTANO GRANDE</t>
  </si>
  <si>
    <t>RS - PARAÍ</t>
  </si>
  <si>
    <t>RS - PARAÍSO DO SUL</t>
  </si>
  <si>
    <t>RS - PARECI NOVO</t>
  </si>
  <si>
    <t>RS - PAROBÉ</t>
  </si>
  <si>
    <t>RS - PASSA SETE</t>
  </si>
  <si>
    <t>RS - PASSO DO SOBRADO</t>
  </si>
  <si>
    <t>RS - PASSO FUNDO</t>
  </si>
  <si>
    <t>RS - PAULO BENTO</t>
  </si>
  <si>
    <t>RS - PAVERAMA</t>
  </si>
  <si>
    <t>RS - PEDRAS ALTAS</t>
  </si>
  <si>
    <t>RS - PEDRO OSÓRIO</t>
  </si>
  <si>
    <t>RS - PEJUÇARA</t>
  </si>
  <si>
    <t>RS - PELOTAS</t>
  </si>
  <si>
    <t>RS - PICADA CAFÉ</t>
  </si>
  <si>
    <t>RS - PINHAL</t>
  </si>
  <si>
    <t>RS - PINHAL DA SERRA</t>
  </si>
  <si>
    <t>RS - PINHAL GRANDE</t>
  </si>
  <si>
    <t>RS - PINHEIRINHO DO VALE</t>
  </si>
  <si>
    <t>RS - PINHEIRO MACHADO</t>
  </si>
  <si>
    <t>RS - PINTO BANDEIRA</t>
  </si>
  <si>
    <t>RS - PIRAPÓ</t>
  </si>
  <si>
    <t>RS - PIRATINI</t>
  </si>
  <si>
    <t>RS - PLANALTO</t>
  </si>
  <si>
    <t>RS - POÇO DAS ANTAS</t>
  </si>
  <si>
    <t>RS - PONTÃO</t>
  </si>
  <si>
    <t>RS - PONTE PRETA</t>
  </si>
  <si>
    <t>RS - PORTÃO</t>
  </si>
  <si>
    <t>RS - PORTO ALEGRE</t>
  </si>
  <si>
    <t>RS - PORTO LUCENA</t>
  </si>
  <si>
    <t>RS - PORTO MAUÁ</t>
  </si>
  <si>
    <t>RS - PORTO VERA CRUZ</t>
  </si>
  <si>
    <t>RS - PORTO XAVIER</t>
  </si>
  <si>
    <t>RS - POUSO NOVO</t>
  </si>
  <si>
    <t>RS - PRESIDENTE LUCENA</t>
  </si>
  <si>
    <t>RS - PROGRESSO</t>
  </si>
  <si>
    <t>RS - PROTÁSIO ALVES</t>
  </si>
  <si>
    <t>RS - PUTINGA</t>
  </si>
  <si>
    <t>RS - QUARAÍ</t>
  </si>
  <si>
    <t>RS - QUATRO IRMÃOS</t>
  </si>
  <si>
    <t>RS - QUEVEDOS</t>
  </si>
  <si>
    <t>RS - QUINZE DE NOVEMBRO</t>
  </si>
  <si>
    <t>RS - REDENTORA</t>
  </si>
  <si>
    <t>RS - RELVADO</t>
  </si>
  <si>
    <t>RS - RESTINGA SECA</t>
  </si>
  <si>
    <t>RS - RIO DOS ÍNDIOS</t>
  </si>
  <si>
    <t>RS - RIO GRANDE</t>
  </si>
  <si>
    <t>RS - RIO PARDO</t>
  </si>
  <si>
    <t>RS - RIOZINHO</t>
  </si>
  <si>
    <t>RS - ROCA SALES</t>
  </si>
  <si>
    <t>RS - RODEIO BONITO</t>
  </si>
  <si>
    <t>RS - ROLADOR</t>
  </si>
  <si>
    <t>RS - ROLANTE</t>
  </si>
  <si>
    <t>RS - RONDA ALTA</t>
  </si>
  <si>
    <t>RS - RONDINHA</t>
  </si>
  <si>
    <t>RS - ROQUE GONZALES</t>
  </si>
  <si>
    <t>RS - ROSÁRIO DO SUL</t>
  </si>
  <si>
    <t>RS - SAGRADA FAMÍLIA</t>
  </si>
  <si>
    <t>RS - SALDANHA MARINHO</t>
  </si>
  <si>
    <t>RS - SALTO DO JACUÍ</t>
  </si>
  <si>
    <t>RS - SALVADOR DAS MISSÕES</t>
  </si>
  <si>
    <t>RS - SALVADOR DO SUL</t>
  </si>
  <si>
    <t>RS - SANANDUVA</t>
  </si>
  <si>
    <t>RS - SANTA BÁRBARA DO SUL</t>
  </si>
  <si>
    <t>RS - SANTA CECÍLIA DO SUL</t>
  </si>
  <si>
    <t>RS - SANTA CLARA DO SUL</t>
  </si>
  <si>
    <t>RS - SANTA CRUZ DO SUL</t>
  </si>
  <si>
    <t>RS - SANTA MARGARIDA DO SUL</t>
  </si>
  <si>
    <t>RS - SANTA MARIA</t>
  </si>
  <si>
    <t>RS - SANTA MARIA DO HERVAL</t>
  </si>
  <si>
    <t>RS - SANTA ROSA</t>
  </si>
  <si>
    <t>RS - SANTA TEREZA</t>
  </si>
  <si>
    <t>RS - SANTA VITÓRIA DO PALMAR</t>
  </si>
  <si>
    <t>RS - SANTANA DA BOA VISTA</t>
  </si>
  <si>
    <t>RS - SANT'ANA DO LIVRAMENTO</t>
  </si>
  <si>
    <t>RS - SANTIAGO</t>
  </si>
  <si>
    <t>RS - SANTO ÂNGELO</t>
  </si>
  <si>
    <t>RS - SANTO ANTÔNIO DA PATRULHA</t>
  </si>
  <si>
    <t>RS - SANTO ANTÔNIO DAS MISSÕES</t>
  </si>
  <si>
    <t>RS - SANTO ANTÔNIO DO PALMA</t>
  </si>
  <si>
    <t>RS - SANTO ANTÔNIO DO PLANALTO</t>
  </si>
  <si>
    <t>RS - SANTO AUGUSTO</t>
  </si>
  <si>
    <t>RS - SANTO CRISTO</t>
  </si>
  <si>
    <t>RS - SANTO EXPEDITO DO SUL</t>
  </si>
  <si>
    <t>RS - SÃO BORJA</t>
  </si>
  <si>
    <t>RS - SÃO DOMINGOS DO SUL</t>
  </si>
  <si>
    <t>RS - SÃO FRANCISCO DE ASSIS</t>
  </si>
  <si>
    <t>RS - SÃO FRANCISCO DE PAULA</t>
  </si>
  <si>
    <t>RS - SÃO GABRIEL</t>
  </si>
  <si>
    <t>RS - SÃO JERÔNIMO</t>
  </si>
  <si>
    <t>RS - SÃO JOÃO DA URTIGA</t>
  </si>
  <si>
    <t>RS - SÃO JOÃO DO POLÊSINE</t>
  </si>
  <si>
    <t>RS - SÃO JORGE</t>
  </si>
  <si>
    <t>RS - SÃO JOSÉ DAS MISSÕES</t>
  </si>
  <si>
    <t>RS - SÃO JOSÉ DO HERVAL</t>
  </si>
  <si>
    <t>RS - SÃO JOSÉ DO HORTÊNCIO</t>
  </si>
  <si>
    <t>RS - SÃO JOSÉ DO INHACORÁ</t>
  </si>
  <si>
    <t>RS - SÃO JOSÉ DO NORTE</t>
  </si>
  <si>
    <t>RS - SÃO JOSÉ DO OURO</t>
  </si>
  <si>
    <t>RS - SÃO JOSÉ DO SUL</t>
  </si>
  <si>
    <t>RS - SÃO JOSÉ DOS AUSENTES</t>
  </si>
  <si>
    <t>RS - SÃO LEOPOLDO</t>
  </si>
  <si>
    <t>RS - SÃO LOURENÇO DO SUL</t>
  </si>
  <si>
    <t>RS - SÃO LUIZ GONZAGA</t>
  </si>
  <si>
    <t>RS - SÃO MARCOS</t>
  </si>
  <si>
    <t>RS - SÃO MARTINHO</t>
  </si>
  <si>
    <t>RS - SÃO MARTINHO DA SERRA</t>
  </si>
  <si>
    <t>RS - SÃO MIGUEL DAS MISSÕES</t>
  </si>
  <si>
    <t>RS - SÃO NICOLAU</t>
  </si>
  <si>
    <t>RS - SÃO PAULO DAS MISSÕES</t>
  </si>
  <si>
    <t>RS - SÃO PEDRO DA SERRA</t>
  </si>
  <si>
    <t>RS - SÃO PEDRO DAS MISSÕES</t>
  </si>
  <si>
    <t>RS - SÃO PEDRO DO BUTIÁ</t>
  </si>
  <si>
    <t>RS - SÃO PEDRO DO SUL</t>
  </si>
  <si>
    <t>RS - SÃO SEBASTIÃO DO CAÍ</t>
  </si>
  <si>
    <t>RS - SÃO SEPÉ</t>
  </si>
  <si>
    <t>RS - SÃO VALENTIM</t>
  </si>
  <si>
    <t>RS - SÃO VALENTIM DO SUL</t>
  </si>
  <si>
    <t>RS - SÃO VALÉRIO DO SUL</t>
  </si>
  <si>
    <t>RS - SÃO VENDELINO</t>
  </si>
  <si>
    <t>RS - SÃO VICENTE DO SUL</t>
  </si>
  <si>
    <t>RS - SAPIRANGA</t>
  </si>
  <si>
    <t>RS - SAPUCAIA DO SUL</t>
  </si>
  <si>
    <t>RS - SARANDI</t>
  </si>
  <si>
    <t>RS - SEBERI</t>
  </si>
  <si>
    <t>RS - SEDE NOVA</t>
  </si>
  <si>
    <t>RS - SEGREDO</t>
  </si>
  <si>
    <t>RS - SELBACH</t>
  </si>
  <si>
    <t>RS - SENADOR SALGADO FILHO</t>
  </si>
  <si>
    <t>RS - SENTINELA DO SUL</t>
  </si>
  <si>
    <t>RS - SERAFINA CORRÊA</t>
  </si>
  <si>
    <t>RS - SÉRIO</t>
  </si>
  <si>
    <t>RS - SERTÃO</t>
  </si>
  <si>
    <t>RS - SERTÃO SANTANA</t>
  </si>
  <si>
    <t>RS - SETE DE SETEMBRO</t>
  </si>
  <si>
    <t>RS - SEVERIANO DE ALMEIDA</t>
  </si>
  <si>
    <t>RS - SILVEIRA MARTINS</t>
  </si>
  <si>
    <t>RS - SINIMBU</t>
  </si>
  <si>
    <t>RS - SOBRADINHO</t>
  </si>
  <si>
    <t>RS - SOLEDADE</t>
  </si>
  <si>
    <t>RS - TABAÍ</t>
  </si>
  <si>
    <t>RS - TAPEJARA</t>
  </si>
  <si>
    <t>RS - TAPERA</t>
  </si>
  <si>
    <t>RS - TAPES</t>
  </si>
  <si>
    <t>RS - TAQUARA</t>
  </si>
  <si>
    <t>RS - TAQUARI</t>
  </si>
  <si>
    <t>RS - TAQUARUÇU DO SUL</t>
  </si>
  <si>
    <t>RS - TAVARES</t>
  </si>
  <si>
    <t>RS - TENENTE PORTELA</t>
  </si>
  <si>
    <t>RS - TERRA DE AREIA</t>
  </si>
  <si>
    <t>RS - TEUTÔNIA</t>
  </si>
  <si>
    <t>RS - TIO HUGO</t>
  </si>
  <si>
    <t>RS - TIRADENTES DO SUL</t>
  </si>
  <si>
    <t>RS - TOROPI</t>
  </si>
  <si>
    <t>RS - TORRES</t>
  </si>
  <si>
    <t>RS - TRAMANDAÍ</t>
  </si>
  <si>
    <t>RS - TRAVESSEIRO</t>
  </si>
  <si>
    <t>RS - TRÊS ARROIOS</t>
  </si>
  <si>
    <t>RS - TRÊS CACHOEIRAS</t>
  </si>
  <si>
    <t>RS - TRÊS COROAS</t>
  </si>
  <si>
    <t>RS - TRÊS DE MAIO</t>
  </si>
  <si>
    <t>RS - TRÊS FORQUILHAS</t>
  </si>
  <si>
    <t>RS - TRÊS PALMEIRAS</t>
  </si>
  <si>
    <t>RS - TRÊS PASSOS</t>
  </si>
  <si>
    <t>RS - TRINDADE DO SUL</t>
  </si>
  <si>
    <t>RS - TRIUNFO</t>
  </si>
  <si>
    <t>RS - TUCUNDUVA</t>
  </si>
  <si>
    <t>RS - TUNAS</t>
  </si>
  <si>
    <t>RS - TUPANCI DO SUL</t>
  </si>
  <si>
    <t>RS - TUPANCIRETÃ</t>
  </si>
  <si>
    <t>RS - TUPANDI</t>
  </si>
  <si>
    <t>RS - TUPARENDI</t>
  </si>
  <si>
    <t>RS - TURUÇU</t>
  </si>
  <si>
    <t>RS - UBIRETAMA</t>
  </si>
  <si>
    <t>RS - UNIÃO DA SERRA</t>
  </si>
  <si>
    <t>RS - UNISTALDA</t>
  </si>
  <si>
    <t>RS - URUGUAIANA</t>
  </si>
  <si>
    <t>RS - VACARIA</t>
  </si>
  <si>
    <t>RS - VALE DO SOL</t>
  </si>
  <si>
    <t>RS - VALE REAL</t>
  </si>
  <si>
    <t>RS - VALE VERDE</t>
  </si>
  <si>
    <t>RS - VANINI</t>
  </si>
  <si>
    <t>RS - VENÂNCIO AIRES</t>
  </si>
  <si>
    <t>RS - VERA CRUZ</t>
  </si>
  <si>
    <t>RS - VERANÓPOLIS</t>
  </si>
  <si>
    <t>RS - VESPASIANO CORREA</t>
  </si>
  <si>
    <t>RS - VIADUTOS</t>
  </si>
  <si>
    <t>RS - VIAMÃO</t>
  </si>
  <si>
    <t>RS - VICENTE DUTRA</t>
  </si>
  <si>
    <t>RS - VICTOR GRAEFF</t>
  </si>
  <si>
    <t>RS - VILA FLORES</t>
  </si>
  <si>
    <t>RS - VILA LÂNGARO</t>
  </si>
  <si>
    <t>RS - VILA MARIA</t>
  </si>
  <si>
    <t>RS - VILA NOVA DO SUL</t>
  </si>
  <si>
    <t>RS - VISTA ALEGRE</t>
  </si>
  <si>
    <t>RS - VISTA ALEGRE DO PRATA</t>
  </si>
  <si>
    <t>RS - VISTA GAÚCHA</t>
  </si>
  <si>
    <t>RS - VITÓRIA DAS MISSÕES</t>
  </si>
  <si>
    <t>RS - WESTFALIA</t>
  </si>
  <si>
    <t>RS - XANGRI-LÁ</t>
  </si>
  <si>
    <t>SP - ADAMANTINA</t>
  </si>
  <si>
    <t>SP - ADOLFO</t>
  </si>
  <si>
    <t>SP - AGUAÍ</t>
  </si>
  <si>
    <t>SP - ÁGUAS DA PRATA</t>
  </si>
  <si>
    <t>SP - ÁGUAS DE LINDÓIA</t>
  </si>
  <si>
    <t>SP - ÁGUAS DE SANTA BÁRBARA</t>
  </si>
  <si>
    <t>SP - ÁGUAS DE SÃO PEDRO</t>
  </si>
  <si>
    <t>SP - AGUDOS</t>
  </si>
  <si>
    <t>SP - ALAMBARI</t>
  </si>
  <si>
    <t>SP - ALFREDO MARCONDES</t>
  </si>
  <si>
    <t>SP - ALTAIR</t>
  </si>
  <si>
    <t>SP - ALTINÓPOLIS</t>
  </si>
  <si>
    <t>SP - ALTO ALEGRE</t>
  </si>
  <si>
    <t>SP - ALUMÍNIO</t>
  </si>
  <si>
    <t>SP - ÁLVARES FLORENCE</t>
  </si>
  <si>
    <t>SP - ÁLVARES MACHADO</t>
  </si>
  <si>
    <t>SP - ÁLVARO DE CARVALHO</t>
  </si>
  <si>
    <t>SP - ALVINLÂNDIA</t>
  </si>
  <si>
    <t>SP - AMERICANA</t>
  </si>
  <si>
    <t>SP - AMÉRICO BRASILIENSE</t>
  </si>
  <si>
    <t>SP - AMÉRICO DE CAMPOS</t>
  </si>
  <si>
    <t>SP - AMPARO</t>
  </si>
  <si>
    <t>SP - ANALÂNDIA</t>
  </si>
  <si>
    <t>SP - ANDRADINA</t>
  </si>
  <si>
    <t>SP - ANGATUBA</t>
  </si>
  <si>
    <t>SP - ANHEMBI</t>
  </si>
  <si>
    <t>SP - ANHUMAS</t>
  </si>
  <si>
    <t>SP - APARECIDA</t>
  </si>
  <si>
    <t>SP - APARECIDA D'OESTE</t>
  </si>
  <si>
    <t>SP - APIAÍ</t>
  </si>
  <si>
    <t>SP - ARAÇARIGUAMA</t>
  </si>
  <si>
    <t>SP - ARAÇATUBA</t>
  </si>
  <si>
    <t>SP - ARAÇOIABA DA SERRA</t>
  </si>
  <si>
    <t>SP - ARAMINA</t>
  </si>
  <si>
    <t>SP - ARANDU</t>
  </si>
  <si>
    <t>SP - ARAPEÍ</t>
  </si>
  <si>
    <t>SP - ARARAQUARA</t>
  </si>
  <si>
    <t>SP - ARARAS</t>
  </si>
  <si>
    <t>SP - ARCO-ÍRIS</t>
  </si>
  <si>
    <t>SP - AREALVA</t>
  </si>
  <si>
    <t>SP - AREIAS</t>
  </si>
  <si>
    <t>SP - AREIÓPOLIS</t>
  </si>
  <si>
    <t>SP - ARIRANHA</t>
  </si>
  <si>
    <t>SP - ARTUR NOGUEIRA</t>
  </si>
  <si>
    <t>SP - ARUJÁ</t>
  </si>
  <si>
    <t>SP - ASPÁSIA</t>
  </si>
  <si>
    <t>SP - ASSIS</t>
  </si>
  <si>
    <t>SP - ATIBAIA</t>
  </si>
  <si>
    <t>SP - AURIFLAMA</t>
  </si>
  <si>
    <t>SP - AVAÍ</t>
  </si>
  <si>
    <t>SP - AVANHANDAVA</t>
  </si>
  <si>
    <t>SP - AVARÉ</t>
  </si>
  <si>
    <t>SP - BADY BASSITT</t>
  </si>
  <si>
    <t>SP - BALBINOS</t>
  </si>
  <si>
    <t>SP - BÁLSAMO</t>
  </si>
  <si>
    <t>SP - BANANAL</t>
  </si>
  <si>
    <t>SP - BARÃO DE ANTONINA</t>
  </si>
  <si>
    <t>SP - BARBOSA</t>
  </si>
  <si>
    <t>SP - BARIRI</t>
  </si>
  <si>
    <t>SP - BARRA BONITA</t>
  </si>
  <si>
    <t>SP - BARRA DO CHAPÉU</t>
  </si>
  <si>
    <t>SP - BARRA DO TURVO</t>
  </si>
  <si>
    <t>SP - BARRETOS</t>
  </si>
  <si>
    <t>SP - BARRINHA</t>
  </si>
  <si>
    <t>SP - BARUERI</t>
  </si>
  <si>
    <t>SP - BASTOS</t>
  </si>
  <si>
    <t>SP - BATATAIS</t>
  </si>
  <si>
    <t>SP - BAURU</t>
  </si>
  <si>
    <t>SP - BEBEDOURO</t>
  </si>
  <si>
    <t>SP - BENTO DE ABREU</t>
  </si>
  <si>
    <t>SP - BERNARDINO DE CAMPOS</t>
  </si>
  <si>
    <t>SP - BERTIOGA</t>
  </si>
  <si>
    <t>SP - BILAC</t>
  </si>
  <si>
    <t>SP - BIRIGUI</t>
  </si>
  <si>
    <t>SP - BIRITIBA-MIRIM</t>
  </si>
  <si>
    <t>SP - BOA ESPERANÇA DO SUL</t>
  </si>
  <si>
    <t>SP - BOCAINA</t>
  </si>
  <si>
    <t>SP - BOFETE</t>
  </si>
  <si>
    <t>SP - BOITUVA</t>
  </si>
  <si>
    <t>SP - BOM JESUS DOS PERDÕES</t>
  </si>
  <si>
    <t>SP - BOM SUCESSO DE ITARARÉ</t>
  </si>
  <si>
    <t>SP - BORÁ</t>
  </si>
  <si>
    <t>SP - BORACÉIA</t>
  </si>
  <si>
    <t>SP - BORBOREMA</t>
  </si>
  <si>
    <t>SP - BOREBI</t>
  </si>
  <si>
    <t>SP - BOTUCATU</t>
  </si>
  <si>
    <t>SP - BRAGANÇA PAULISTA</t>
  </si>
  <si>
    <t>SP - BRAÚNA</t>
  </si>
  <si>
    <t>SP - BREJO ALEGRE</t>
  </si>
  <si>
    <t>SP - BRODOWSKI</t>
  </si>
  <si>
    <t>SP - BROTAS</t>
  </si>
  <si>
    <t>SP - BURI</t>
  </si>
  <si>
    <t>SP - BURITAMA</t>
  </si>
  <si>
    <t>SP - BURITIZAL</t>
  </si>
  <si>
    <t>SP - CABRÁLIA PAULISTA</t>
  </si>
  <si>
    <t>SP - CABREÚVA</t>
  </si>
  <si>
    <t>SP - CAÇAPAVA</t>
  </si>
  <si>
    <t>SP - CACHOEIRA PAULISTA</t>
  </si>
  <si>
    <t>SP - CACONDE</t>
  </si>
  <si>
    <t>SP - CAFELÂNDIA</t>
  </si>
  <si>
    <t>SP - CAIABU</t>
  </si>
  <si>
    <t>SP - CAIEIRAS</t>
  </si>
  <si>
    <t>SP - CAIUÁ</t>
  </si>
  <si>
    <t>SP - CAJAMAR</t>
  </si>
  <si>
    <t>SP - CAJATI</t>
  </si>
  <si>
    <t>SP - CAJOBI</t>
  </si>
  <si>
    <t>SP - CAJURU</t>
  </si>
  <si>
    <t>SP - CAMPINA DO MONTE ALEGRE</t>
  </si>
  <si>
    <t>SP - Campinas</t>
  </si>
  <si>
    <t>SP - CAMPO LIMPO PAULISTA</t>
  </si>
  <si>
    <t>SP - CAMPOS DO JORDÃO</t>
  </si>
  <si>
    <t>SP - CAMPOS NOVOS PAULISTA</t>
  </si>
  <si>
    <t>SP - CANANÉIA</t>
  </si>
  <si>
    <t>SP - CANAS</t>
  </si>
  <si>
    <t>SP - CÂNDIDO MOTA</t>
  </si>
  <si>
    <t>SP - CÂNDIDO RODRIGUES</t>
  </si>
  <si>
    <t>SP - CANITAR</t>
  </si>
  <si>
    <t>SP - CAPÃO BONITO</t>
  </si>
  <si>
    <t>SP - CAPELA DO ALTO</t>
  </si>
  <si>
    <t>SP - CAPIVARI</t>
  </si>
  <si>
    <t>SP - CARAGUATATUBA</t>
  </si>
  <si>
    <t>SP - CARAPICUÍBA</t>
  </si>
  <si>
    <t>SP - CARDOSO</t>
  </si>
  <si>
    <t>SP - CASA BRANCA</t>
  </si>
  <si>
    <t>SP - CÁSSIA DOS COQUEIROS</t>
  </si>
  <si>
    <t>SP - CASTILHO</t>
  </si>
  <si>
    <t>SP - CATANDUVA</t>
  </si>
  <si>
    <t>SP - CATIGUÁ</t>
  </si>
  <si>
    <t>SP - CEDRAL</t>
  </si>
  <si>
    <t>SP - CERQUEIRA CÉSAR</t>
  </si>
  <si>
    <t>SP - CERQUILHO</t>
  </si>
  <si>
    <t>SP - CESÁRIO LANGE</t>
  </si>
  <si>
    <t>SP - CHARQUEADA</t>
  </si>
  <si>
    <t>SP - CHAVANTES</t>
  </si>
  <si>
    <t>SP - CLEMENTINA</t>
  </si>
  <si>
    <t>SP - COLINA</t>
  </si>
  <si>
    <t>SP - COLÔMBIA</t>
  </si>
  <si>
    <t>SP - CONCHAL</t>
  </si>
  <si>
    <t>SP - CONCHAS</t>
  </si>
  <si>
    <t>SP - CORDEIRÓPOLIS</t>
  </si>
  <si>
    <t>SP - COROADOS</t>
  </si>
  <si>
    <t>SP - CORONEL MACEDO</t>
  </si>
  <si>
    <t>SP - CORUMBATAÍ</t>
  </si>
  <si>
    <t>SP - COSMÓPOLIS</t>
  </si>
  <si>
    <t>SP - COSMORAMA</t>
  </si>
  <si>
    <t>SP - COTIA</t>
  </si>
  <si>
    <t>SP - CRAVINHOS</t>
  </si>
  <si>
    <t>SP - CRISTAIS PAULISTA</t>
  </si>
  <si>
    <t>SP - CRUZÁLIA</t>
  </si>
  <si>
    <t>SP - CRUZEIRO</t>
  </si>
  <si>
    <t>SP - CUBATÃO</t>
  </si>
  <si>
    <t>SP - CUNHA</t>
  </si>
  <si>
    <t>SP - DESCALVADO</t>
  </si>
  <si>
    <t>SP - DIADEMA</t>
  </si>
  <si>
    <t>SP - DIRCE REIS</t>
  </si>
  <si>
    <t>SP - DIVINOLÂNDIA</t>
  </si>
  <si>
    <t>SP - DOBRADA</t>
  </si>
  <si>
    <t>SP - DOIS CÓRREGOS</t>
  </si>
  <si>
    <t>SP - DOLCINÓPOLIS</t>
  </si>
  <si>
    <t>SP - DOURADO</t>
  </si>
  <si>
    <t>SP - DRACENA</t>
  </si>
  <si>
    <t>SP - DUARTINA</t>
  </si>
  <si>
    <t>SP - DUMONT</t>
  </si>
  <si>
    <t>SP - ECHAPORÃ</t>
  </si>
  <si>
    <t>SP - ELDORADO</t>
  </si>
  <si>
    <t>SP - ELIAS FAUSTO</t>
  </si>
  <si>
    <t>SP - ELISIÁRIO</t>
  </si>
  <si>
    <t>SP - EMBAÚBA</t>
  </si>
  <si>
    <t>SP - EMBU</t>
  </si>
  <si>
    <t>SP - EMBU-GUAÇU</t>
  </si>
  <si>
    <t>SP - EMILIANÓPOLIS</t>
  </si>
  <si>
    <t>SP - ENGENHEIRO COELHO</t>
  </si>
  <si>
    <t>SP - ESPÍRITO SANTO DO PINHAL</t>
  </si>
  <si>
    <t>SP - ESPÍRITO SANTO DO TURVO</t>
  </si>
  <si>
    <t>SP - ESTIVA GERBI</t>
  </si>
  <si>
    <t>SP - ESTRELA DO NORTE</t>
  </si>
  <si>
    <t>SP - ESTRELA D'OESTE</t>
  </si>
  <si>
    <t>SP - EUCLIDES DA CUNHA PAULISTA</t>
  </si>
  <si>
    <t>SP - FARTURA</t>
  </si>
  <si>
    <t>SP - FERNANDO PRESTES</t>
  </si>
  <si>
    <t>SP - FERNANDÓPOLIS</t>
  </si>
  <si>
    <t>SP - FERNÃO</t>
  </si>
  <si>
    <t>SP - FERRAZ DE VASCONCELOS</t>
  </si>
  <si>
    <t>SP - FLORA RICA</t>
  </si>
  <si>
    <t>SP - FLOREAL</t>
  </si>
  <si>
    <t>SP - FLÓRIDA PAULISTA</t>
  </si>
  <si>
    <t>SP - FLORÍNIA</t>
  </si>
  <si>
    <t>SP - FRANCA</t>
  </si>
  <si>
    <t>SP - FRANCISCO MORATO</t>
  </si>
  <si>
    <t>SP - FRANCO DA ROCHA</t>
  </si>
  <si>
    <t>SP - GABRIEL MONTEIRO</t>
  </si>
  <si>
    <t>SP - GÁLIA</t>
  </si>
  <si>
    <t>SP - GARÇA</t>
  </si>
  <si>
    <t>SP - GASTÃO VIDIGAL</t>
  </si>
  <si>
    <t>SP - GAVIÃO PEIXOTO</t>
  </si>
  <si>
    <t>SP - GENERAL SALGADO</t>
  </si>
  <si>
    <t>SP - GETULINA</t>
  </si>
  <si>
    <t>SP - GLICÉRIO</t>
  </si>
  <si>
    <t>SP - GUAIÇARA</t>
  </si>
  <si>
    <t>SP - GUAIMBÊ</t>
  </si>
  <si>
    <t>SP - GUAÍRA</t>
  </si>
  <si>
    <t>SP - GUAPIAÇU</t>
  </si>
  <si>
    <t>SP - GUAPIARA</t>
  </si>
  <si>
    <t>SP - GUARÁ</t>
  </si>
  <si>
    <t>SP - GUARAÇAÍ</t>
  </si>
  <si>
    <t>SP - GUARACI</t>
  </si>
  <si>
    <t>SP - GUARANI D'OESTE</t>
  </si>
  <si>
    <t>SP - GUARANTÃ</t>
  </si>
  <si>
    <t>SP - GUARARAPES</t>
  </si>
  <si>
    <t>SP - GUARAREMA</t>
  </si>
  <si>
    <t>SP - GUARATINGUETÁ</t>
  </si>
  <si>
    <t>SP - GUAREÍ</t>
  </si>
  <si>
    <t>SP - GUARIBA</t>
  </si>
  <si>
    <t>SP - GUARUJÁ</t>
  </si>
  <si>
    <t>SP - GUARULHOS</t>
  </si>
  <si>
    <t>SP - GUATAPARÁ</t>
  </si>
  <si>
    <t>SP - GUZOLÂNDIA</t>
  </si>
  <si>
    <t>SP - HERCULÂNDIA</t>
  </si>
  <si>
    <t>SP - HOLAMBRA</t>
  </si>
  <si>
    <t>SP - HORTOLÂNDIA</t>
  </si>
  <si>
    <t>SP - IACANGA</t>
  </si>
  <si>
    <t>SP - IACRI</t>
  </si>
  <si>
    <t>SP - IARAS</t>
  </si>
  <si>
    <t>SP - IBATÉ</t>
  </si>
  <si>
    <t>SP - IBIRÁ</t>
  </si>
  <si>
    <t>SP - IBIRAREMA</t>
  </si>
  <si>
    <t>SP - IBITINGA</t>
  </si>
  <si>
    <t>SP - IBIÚNA</t>
  </si>
  <si>
    <t>SP - ICÉM</t>
  </si>
  <si>
    <t>SP - IEPÊ</t>
  </si>
  <si>
    <t>SP - IGARAÇU DO TIETÊ</t>
  </si>
  <si>
    <t>SP - IGARAPAVA</t>
  </si>
  <si>
    <t>SP - IGARATÁ</t>
  </si>
  <si>
    <t>SP - IGUAPE</t>
  </si>
  <si>
    <t>SP - ILHA COMPRIDA</t>
  </si>
  <si>
    <t>SP - ILHA SOLTEIRA</t>
  </si>
  <si>
    <t>SP - ILHABELA</t>
  </si>
  <si>
    <t>SP - INDAIATUBA</t>
  </si>
  <si>
    <t>SP - INDIANA</t>
  </si>
  <si>
    <t>SP - INDIAPORÃ</t>
  </si>
  <si>
    <t>SP - INÚBIA PAULISTA</t>
  </si>
  <si>
    <t>SP - IPAUSSU</t>
  </si>
  <si>
    <t>SP - IPERÓ</t>
  </si>
  <si>
    <t>SP - IPEÚNA</t>
  </si>
  <si>
    <t>SP - IPIGUÁ</t>
  </si>
  <si>
    <t>SP - IPORANGA</t>
  </si>
  <si>
    <t>SP - IPUÃ</t>
  </si>
  <si>
    <t>SP - IRACEMÁPOLIS</t>
  </si>
  <si>
    <t>SP - IRAPUÃ</t>
  </si>
  <si>
    <t>SP - IRAPURU</t>
  </si>
  <si>
    <t>SP - ITABERÁ</t>
  </si>
  <si>
    <t>SP - ITAÍ</t>
  </si>
  <si>
    <t>SP - ITAJOBI</t>
  </si>
  <si>
    <t>SP - ITAJU</t>
  </si>
  <si>
    <t>SP - ITANHAÉM</t>
  </si>
  <si>
    <t>SP - ITAÓCA</t>
  </si>
  <si>
    <t>SP - ITAPECERICA DA SERRA</t>
  </si>
  <si>
    <t>SP - ITAPETININGA</t>
  </si>
  <si>
    <t>SP - ITAPEVA</t>
  </si>
  <si>
    <t>SP - ITAPEVI</t>
  </si>
  <si>
    <t>SP - ITAPIRA</t>
  </si>
  <si>
    <t>SP - ITAPIRAPUÃ PAULISTA</t>
  </si>
  <si>
    <t>SP - ITÁPOLIS</t>
  </si>
  <si>
    <t>SP - ITAPORANGA</t>
  </si>
  <si>
    <t>SP - ITAPUÍ</t>
  </si>
  <si>
    <t>SP - ITAPURA</t>
  </si>
  <si>
    <t>SP - ITAQUAQUECETUBA</t>
  </si>
  <si>
    <t>SP - ITARARÉ</t>
  </si>
  <si>
    <t>SP - ITARIRI</t>
  </si>
  <si>
    <t>SP - ITATIBA</t>
  </si>
  <si>
    <t>SP - ITATINGA</t>
  </si>
  <si>
    <t>SP - ITIRAPINA</t>
  </si>
  <si>
    <t>SP - ITIRAPUÃ</t>
  </si>
  <si>
    <t>SP - ITOBI</t>
  </si>
  <si>
    <t>SP - ITU</t>
  </si>
  <si>
    <t>SP - ITUPEVA</t>
  </si>
  <si>
    <t>SP - ITUVERAVA</t>
  </si>
  <si>
    <t>SP - JABORANDI</t>
  </si>
  <si>
    <t>SP - JABOTICABAL</t>
  </si>
  <si>
    <t>SP - JACAREÍ</t>
  </si>
  <si>
    <t>SP - JACI</t>
  </si>
  <si>
    <t>SP - JACUPIRANGA</t>
  </si>
  <si>
    <t>SP - JAGUARIÚNA</t>
  </si>
  <si>
    <t>SP - JALES</t>
  </si>
  <si>
    <t>SP - JAMBEIRO</t>
  </si>
  <si>
    <t>SP - JANDIRA</t>
  </si>
  <si>
    <t>SP - JARDINÓPOLIS</t>
  </si>
  <si>
    <t>SP - JARINU</t>
  </si>
  <si>
    <t>SP - JAÚ</t>
  </si>
  <si>
    <t>SP - JERIQUARA</t>
  </si>
  <si>
    <t>SP - JOANÓPOLIS</t>
  </si>
  <si>
    <t>SP - JOÃO RAMALHO</t>
  </si>
  <si>
    <t>SP - JOSÉ BONIFÁCIO</t>
  </si>
  <si>
    <t>SP - JÚLIO MESQUITA</t>
  </si>
  <si>
    <t>SP - JUMIRIM</t>
  </si>
  <si>
    <t>SP - JUNDIAÍ</t>
  </si>
  <si>
    <t>SP - JUNQUEIRÓPOLIS</t>
  </si>
  <si>
    <t>SP - JUQUIÁ</t>
  </si>
  <si>
    <t>SP - JUQUITIBA</t>
  </si>
  <si>
    <t>SP - LAGOINHA</t>
  </si>
  <si>
    <t>SP - LARANJAL PAULISTA</t>
  </si>
  <si>
    <t>SP - LAVÍNIA</t>
  </si>
  <si>
    <t>SP - LAVRINHAS</t>
  </si>
  <si>
    <t>SP - LEME</t>
  </si>
  <si>
    <t>SP - LENÇÓIS PAULISTA</t>
  </si>
  <si>
    <t>SP - LIMEIRA</t>
  </si>
  <si>
    <t>SP - LINDÓIA</t>
  </si>
  <si>
    <t>SP - LINS</t>
  </si>
  <si>
    <t>SP - LORENA</t>
  </si>
  <si>
    <t>SP - LOURDES</t>
  </si>
  <si>
    <t>SP - LOUVEIRA</t>
  </si>
  <si>
    <t>SP - LUCÉLIA</t>
  </si>
  <si>
    <t>SP - LUCIANÓPOLIS</t>
  </si>
  <si>
    <t>SP - LUÍS ANTÔNIO</t>
  </si>
  <si>
    <t>SP - LUIZIÂNIA</t>
  </si>
  <si>
    <t>SP - LUPÉRCIO</t>
  </si>
  <si>
    <t>SP - LUTÉCIA</t>
  </si>
  <si>
    <t>SP - MACATUBA</t>
  </si>
  <si>
    <t>SP - MACAUBAL</t>
  </si>
  <si>
    <t>SP - MACEDÔNIA</t>
  </si>
  <si>
    <t>SP - MAGDA</t>
  </si>
  <si>
    <t>SP - MAIRINQUE</t>
  </si>
  <si>
    <t>SP - MAIRIPORÃ</t>
  </si>
  <si>
    <t>SP - MANDURI</t>
  </si>
  <si>
    <t>SP - MARABÁ PAULISTA</t>
  </si>
  <si>
    <t>SP - MARACAÍ</t>
  </si>
  <si>
    <t>SP - MARAPOAMA</t>
  </si>
  <si>
    <t>SP - MARIÁPOLIS</t>
  </si>
  <si>
    <t>SP - MARÍLIA</t>
  </si>
  <si>
    <t>SP - MARINÓPOLIS</t>
  </si>
  <si>
    <t>SP - MARTINÓPOLIS</t>
  </si>
  <si>
    <t>SP - MATÃO</t>
  </si>
  <si>
    <t>SP - MAUÁ</t>
  </si>
  <si>
    <t>SP - MENDONÇA</t>
  </si>
  <si>
    <t>SP - MERIDIANO</t>
  </si>
  <si>
    <t>SP - MESÓPOLIS</t>
  </si>
  <si>
    <t>SP - MIGUELÓPOLIS</t>
  </si>
  <si>
    <t>SP - MINEIROS DO TIETÊ</t>
  </si>
  <si>
    <t>SP - MIRA ESTRELA</t>
  </si>
  <si>
    <t>SP - MIRACATU</t>
  </si>
  <si>
    <t>SP - MIRANDÓPOLIS</t>
  </si>
  <si>
    <t>SP - MIRANTE DO PARANAPANEMA</t>
  </si>
  <si>
    <t>SP - MIRASSOL</t>
  </si>
  <si>
    <t>SP - MIRASSOLÂNDIA</t>
  </si>
  <si>
    <t>SP - MOCOCA</t>
  </si>
  <si>
    <t>SP - MOGI DAS CRUZES</t>
  </si>
  <si>
    <t>SP - MOGI GUAÇU</t>
  </si>
  <si>
    <t>SP - MOJI MIRIM</t>
  </si>
  <si>
    <t>SP - MOMBUCA</t>
  </si>
  <si>
    <t>SP - MONÇÕES</t>
  </si>
  <si>
    <t>SP - MONGAGUÁ</t>
  </si>
  <si>
    <t>SP - MONTE ALEGRE DO SUL</t>
  </si>
  <si>
    <t>SP - MONTE ALTO</t>
  </si>
  <si>
    <t>SP - MONTE APRAZÍVEL</t>
  </si>
  <si>
    <t>SP - MONTE AZUL PAULISTA</t>
  </si>
  <si>
    <t>SP - MONTE CASTELO</t>
  </si>
  <si>
    <t>SP - MONTE MOR</t>
  </si>
  <si>
    <t>SP - MONTEIRO LOBATO</t>
  </si>
  <si>
    <t>SP - MORRO AGUDO</t>
  </si>
  <si>
    <t>SP - MORUNGABA</t>
  </si>
  <si>
    <t>SP - MOTUCA</t>
  </si>
  <si>
    <t>SP - MURUTINGA DO SUL</t>
  </si>
  <si>
    <t>SP - NANTES</t>
  </si>
  <si>
    <t>SP - NARANDIBA</t>
  </si>
  <si>
    <t>SP - NATIVIDADE DA SERRA</t>
  </si>
  <si>
    <t>SP - NAZARÉ PAULISTA</t>
  </si>
  <si>
    <t>SP - NEVES PAULISTA</t>
  </si>
  <si>
    <t>SP - NHANDEARA</t>
  </si>
  <si>
    <t>SP - NIPOÃ</t>
  </si>
  <si>
    <t>SP - NOVA ALIANÇA</t>
  </si>
  <si>
    <t>SP - NOVA CAMPINA</t>
  </si>
  <si>
    <t>SP - NOVA CANAÃ PAULISTA</t>
  </si>
  <si>
    <t>SP - NOVA CASTILHO</t>
  </si>
  <si>
    <t>SP - NOVA EUROPA</t>
  </si>
  <si>
    <t>SP - NOVA GRANADA</t>
  </si>
  <si>
    <t>SP - NOVA GUATAPORANGA</t>
  </si>
  <si>
    <t>SP - NOVA INDEPENDÊNCIA</t>
  </si>
  <si>
    <t>SP - NOVA LUZITÂNIA</t>
  </si>
  <si>
    <t>SP - NOVA ODESSA</t>
  </si>
  <si>
    <t>SP - NOVAIS</t>
  </si>
  <si>
    <t>SP - NOVO HORIZONTE</t>
  </si>
  <si>
    <t>SP - NUPORANGA</t>
  </si>
  <si>
    <t>SP - OCAUÇU</t>
  </si>
  <si>
    <t>SP - ÓLEO</t>
  </si>
  <si>
    <t>SP - OLÍMPIA</t>
  </si>
  <si>
    <t>SP - ONDA VERDE</t>
  </si>
  <si>
    <t>SP - ORIENTE</t>
  </si>
  <si>
    <t>SP - ORINDIÚVA</t>
  </si>
  <si>
    <t>SP - ORLÂNDIA</t>
  </si>
  <si>
    <t>SP - OSASCO</t>
  </si>
  <si>
    <t>SP - OSCAR BRESSANE</t>
  </si>
  <si>
    <t>SP - OSVALDO CRUZ</t>
  </si>
  <si>
    <t>SP - OURINHOS</t>
  </si>
  <si>
    <t>SP - OURO VERDE</t>
  </si>
  <si>
    <t>SP - OUROESTE</t>
  </si>
  <si>
    <t>SP - PACAEMBU</t>
  </si>
  <si>
    <t>SP - PALESTINA</t>
  </si>
  <si>
    <t>SP - PALMARES PAULISTA</t>
  </si>
  <si>
    <t>SP - PALMEIRA D'OESTE</t>
  </si>
  <si>
    <t>SP - PALMITAL</t>
  </si>
  <si>
    <t>SP - PANORAMA</t>
  </si>
  <si>
    <t>SP - PARAGUAÇU PAULISTA</t>
  </si>
  <si>
    <t>SP - PARAIBUNA</t>
  </si>
  <si>
    <t>SP - PARAÍSO</t>
  </si>
  <si>
    <t>SP - PARANAPANEMA</t>
  </si>
  <si>
    <t>SP - PARANAPUÃ</t>
  </si>
  <si>
    <t>SP - PARAPUÃ</t>
  </si>
  <si>
    <t>SP - PARDINHO</t>
  </si>
  <si>
    <t>SP - PARIQUERA-AÇU</t>
  </si>
  <si>
    <t>SP - PARISI</t>
  </si>
  <si>
    <t>SP - PATROCÍNIO PAULISTA</t>
  </si>
  <si>
    <t>SP - PAULICÉIA</t>
  </si>
  <si>
    <t>SP - PAULÍNIA</t>
  </si>
  <si>
    <t>SP - PAULISTÂNIA</t>
  </si>
  <si>
    <t>SP - PAULO DE FARIA</t>
  </si>
  <si>
    <t>SP - PEDERNEIRAS</t>
  </si>
  <si>
    <t>SP - PEDRA BELA</t>
  </si>
  <si>
    <t>SP - PEDRANÓPOLIS</t>
  </si>
  <si>
    <t>SP - PEDREGULHO</t>
  </si>
  <si>
    <t>SP - PEDREIRA</t>
  </si>
  <si>
    <t>SP - PEDRINHAS PAULISTA</t>
  </si>
  <si>
    <t>SP - PEDRO DE TOLEDO</t>
  </si>
  <si>
    <t>SP - PENÁPOLIS</t>
  </si>
  <si>
    <t>SP - PEREIRA BARRETO</t>
  </si>
  <si>
    <t>SP - PEREIRAS</t>
  </si>
  <si>
    <t>SP - PERUÍBE</t>
  </si>
  <si>
    <t>SP - PIACATU</t>
  </si>
  <si>
    <t>SP - PIEDADE</t>
  </si>
  <si>
    <t>SP - PILAR DO SUL</t>
  </si>
  <si>
    <t>SP - PINDAMONHANGABA</t>
  </si>
  <si>
    <t>SP - PINDORAMA</t>
  </si>
  <si>
    <t>SP - PINHALZINHO</t>
  </si>
  <si>
    <t>SP - PIQUEROBI</t>
  </si>
  <si>
    <t>SP - PIQUETE</t>
  </si>
  <si>
    <t>SP - PIRACAIA</t>
  </si>
  <si>
    <t>SP - PIRACICABA</t>
  </si>
  <si>
    <t>SP - PIRAJU</t>
  </si>
  <si>
    <t>SP - PIRAJUÍ</t>
  </si>
  <si>
    <t>SP - PIRANGI</t>
  </si>
  <si>
    <t>SP - PIRAPORA DO BOM JESUS</t>
  </si>
  <si>
    <t>SP - PIRAPOZINHO</t>
  </si>
  <si>
    <t>SP - PIRASSUNUNGA</t>
  </si>
  <si>
    <t>SP - PIRATININGA</t>
  </si>
  <si>
    <t>SP - PITANGUEIRAS</t>
  </si>
  <si>
    <t>SP - PLANALTO</t>
  </si>
  <si>
    <t>SP - PLATINA</t>
  </si>
  <si>
    <t>SP - POÁ</t>
  </si>
  <si>
    <t>SP - POLONI</t>
  </si>
  <si>
    <t>SP - POMPÉIA</t>
  </si>
  <si>
    <t>SP - PONGAÍ</t>
  </si>
  <si>
    <t>SP - PONTAL</t>
  </si>
  <si>
    <t>SP - PONTALINDA</t>
  </si>
  <si>
    <t>SP - PONTES GESTAL</t>
  </si>
  <si>
    <t>SP - POPULINA</t>
  </si>
  <si>
    <t>SP - PORANGABA</t>
  </si>
  <si>
    <t>SP - PORTO FELIZ</t>
  </si>
  <si>
    <t>SP - PORTO FERREIRA</t>
  </si>
  <si>
    <t>SP - POTIM</t>
  </si>
  <si>
    <t>SP - POTIRENDABA</t>
  </si>
  <si>
    <t>SP - PRACINHA</t>
  </si>
  <si>
    <t>SP - PRADÓPOLIS</t>
  </si>
  <si>
    <t>SP - PRAIA GRANDE</t>
  </si>
  <si>
    <t>SP - PRATÂNIA</t>
  </si>
  <si>
    <t>SP - PRESIDENTE ALVES</t>
  </si>
  <si>
    <t>SP - PRESIDENTE BERNARDES</t>
  </si>
  <si>
    <t>SP - PRESIDENTE EPITÁCIO</t>
  </si>
  <si>
    <t>SP - PRESIDENTE PRUDENTE</t>
  </si>
  <si>
    <t>SP - PRESIDENTE VENCESLAU</t>
  </si>
  <si>
    <t>SP - PROMISSÃO</t>
  </si>
  <si>
    <t>SP - QUADRA</t>
  </si>
  <si>
    <t>SP - QUATÁ</t>
  </si>
  <si>
    <t>SP - QUEIROZ</t>
  </si>
  <si>
    <t>SP - QUELUZ</t>
  </si>
  <si>
    <t>SP - QUINTANA</t>
  </si>
  <si>
    <t>SP - RAFARD</t>
  </si>
  <si>
    <t>SP - RANCHARIA</t>
  </si>
  <si>
    <t>SP - REDENÇÃO DA SERRA</t>
  </si>
  <si>
    <t>SP - REGENTE FEIJÓ</t>
  </si>
  <si>
    <t>SP - REGINÓPOLIS</t>
  </si>
  <si>
    <t>SP - REGISTRO</t>
  </si>
  <si>
    <t>SP - RESTINGA</t>
  </si>
  <si>
    <t>SP - RIBEIRA</t>
  </si>
  <si>
    <t>SP - RIBEIRÃO BONITO</t>
  </si>
  <si>
    <t>SP - RIBEIRÃO BRANCO</t>
  </si>
  <si>
    <t>SP - RIBEIRÃO CORRENTE</t>
  </si>
  <si>
    <t>SP - RIBEIRÃO DO SUL</t>
  </si>
  <si>
    <t>SP - RIBEIRÃO DOS ÍNDIOS</t>
  </si>
  <si>
    <t>SP - RIBEIRÃO GRANDE</t>
  </si>
  <si>
    <t>SP - RIBEIRÃO PIRES</t>
  </si>
  <si>
    <t>SP - RIBEIRÃO PRETO</t>
  </si>
  <si>
    <t>SP - RIFAINA</t>
  </si>
  <si>
    <t>SP - RINCÃO</t>
  </si>
  <si>
    <t>SP - RINÓPOLIS</t>
  </si>
  <si>
    <t>SP - RIO CLARO</t>
  </si>
  <si>
    <t>SP - RIO DAS PEDRAS</t>
  </si>
  <si>
    <t>SP - RIO GRANDE DA SERRA</t>
  </si>
  <si>
    <t>SP - RIOLÂNDIA</t>
  </si>
  <si>
    <t>SP - RIVERSUL</t>
  </si>
  <si>
    <t>SP - ROSANA</t>
  </si>
  <si>
    <t>SP - ROSEIRA</t>
  </si>
  <si>
    <t>SP - RUBIÁCEA</t>
  </si>
  <si>
    <t>SP - RUBINÉIA</t>
  </si>
  <si>
    <t>SP - SABINO</t>
  </si>
  <si>
    <t>SP - SAGRES</t>
  </si>
  <si>
    <t>SP - SALES</t>
  </si>
  <si>
    <t>SP - SALES OLIVEIRA</t>
  </si>
  <si>
    <t>SP - SALESÓPOLIS</t>
  </si>
  <si>
    <t>SP - SALMOURÃO</t>
  </si>
  <si>
    <t>SP - SALTINHO</t>
  </si>
  <si>
    <t>SP - SALTO</t>
  </si>
  <si>
    <t>SP - SALTO DE PIRAPORA</t>
  </si>
  <si>
    <t>SP - SALTO GRANDE</t>
  </si>
  <si>
    <t>SP - SANDOVALINA</t>
  </si>
  <si>
    <t>SP - SANTA ADÉLIA</t>
  </si>
  <si>
    <t>SP - SANTA ALBERTINA</t>
  </si>
  <si>
    <t>SP - SANTA BÁRBARA D'OESTE</t>
  </si>
  <si>
    <t>SP - SANTA BRANCA</t>
  </si>
  <si>
    <t>SP - SANTA CLARA D'OESTE</t>
  </si>
  <si>
    <t>SP - SANTA CRUZ DA CONCEIÇÃO</t>
  </si>
  <si>
    <t>SP - SANTA CRUZ DA ESPERANÇA</t>
  </si>
  <si>
    <t>SP - SANTA CRUZ DAS PALMEIRAS</t>
  </si>
  <si>
    <t>SP - SANTA CRUZ DO RIO PARDO</t>
  </si>
  <si>
    <t>SP - SANTA ERNESTINA</t>
  </si>
  <si>
    <t>SP - SANTA FÉ DO SUL</t>
  </si>
  <si>
    <t>SP - SANTA GERTRUDES</t>
  </si>
  <si>
    <t>SP - SANTA ISABEL</t>
  </si>
  <si>
    <t>SP - SANTA LÚCIA</t>
  </si>
  <si>
    <t>SP - SANTA MARIA DA SERRA</t>
  </si>
  <si>
    <t>SP - SANTA MERCEDES</t>
  </si>
  <si>
    <t>SP - SANTA RITA DO PASSA QUATRO</t>
  </si>
  <si>
    <t>SP - SANTA RITA D'OESTE</t>
  </si>
  <si>
    <t>SP - SANTA ROSA DE VITERBO</t>
  </si>
  <si>
    <t>SP - SANTA SALETE</t>
  </si>
  <si>
    <t>SP - SANTANA DA PONTE PENSA</t>
  </si>
  <si>
    <t>SP - SANTANA DE PARNAÍBA</t>
  </si>
  <si>
    <t>SP - SANTO ANASTÁCIO</t>
  </si>
  <si>
    <t>SP - SANTO ANDRÉ</t>
  </si>
  <si>
    <t>SP - SANTO ANTÔNIO DA ALEGRIA</t>
  </si>
  <si>
    <t>SP - SANTO ANTÔNIO DE POSSE</t>
  </si>
  <si>
    <t>SP - SANTO ANTÔNIO DO ARACANGUÁ</t>
  </si>
  <si>
    <t>SP - SANTO ANTÔNIO DO JARDIM</t>
  </si>
  <si>
    <t>SP - SANTO ANTÔNIO DO PINHAL</t>
  </si>
  <si>
    <t>SP - SANTO EXPEDITO</t>
  </si>
  <si>
    <t>SP - SANTÓPOLIS DO AGUAPEÍ</t>
  </si>
  <si>
    <t>SP - SANTOS</t>
  </si>
  <si>
    <t>SP - SÃO BENTO DO SAPUCAÍ</t>
  </si>
  <si>
    <t>SP - SÃO BERNARDO DO CAMPO</t>
  </si>
  <si>
    <t>SP - SÃO CAETANO DO SUL</t>
  </si>
  <si>
    <t>SP - SÃO CARLOS</t>
  </si>
  <si>
    <t>SP - SÃO FRANCISCO</t>
  </si>
  <si>
    <t>SP - SÃO JOÃO DA BOA VISTA</t>
  </si>
  <si>
    <t>SP - SÃO JOÃO DAS DUAS PONTES</t>
  </si>
  <si>
    <t>SP - SÃO JOÃO DE IRACEMA</t>
  </si>
  <si>
    <t>SP - SÃO JOÃO DO PAU D'ALHO</t>
  </si>
  <si>
    <t>SP - SÃO JOAQUIM DA BARRA</t>
  </si>
  <si>
    <t>SP - SÃO JOSÉ DA BELA VISTA</t>
  </si>
  <si>
    <t>SP - SÃO JOSÉ DO BARREIRO</t>
  </si>
  <si>
    <t>SP - SÃO JOSÉ DO RIO PARDO</t>
  </si>
  <si>
    <t>SP - SÃO JOSÉ DO RIO PRETO</t>
  </si>
  <si>
    <t>SP - SÃO JOSÉ DOS CAMPOS</t>
  </si>
  <si>
    <t>SP - SÃO LOURENÇO DA SERRA</t>
  </si>
  <si>
    <t>SP - SÃO LUÍS DO PARAITINGA</t>
  </si>
  <si>
    <t>SP - SÃO MANUEL</t>
  </si>
  <si>
    <t>SP - SÃO MIGUEL ARCANJO</t>
  </si>
  <si>
    <t>SP - SÃO PAULO</t>
  </si>
  <si>
    <t>SP - SÃO PEDRO</t>
  </si>
  <si>
    <t>SP - SÃO PEDRO DO TURVO</t>
  </si>
  <si>
    <t>SP - SÃO ROQUE</t>
  </si>
  <si>
    <t>SP - SÃO SEBASTIÃO</t>
  </si>
  <si>
    <t>SP - SÃO SEBASTIÃO DA GRAMA</t>
  </si>
  <si>
    <t>SP - SÃO SIMÃO</t>
  </si>
  <si>
    <t>SP - SÃO VICENTE</t>
  </si>
  <si>
    <t>SP - SARAPUÍ</t>
  </si>
  <si>
    <t>SP - SARUTAIÁ</t>
  </si>
  <si>
    <t>SP - SEBASTIANÓPOLIS DO SUL</t>
  </si>
  <si>
    <t>SP - SERRA AZUL</t>
  </si>
  <si>
    <t>SP - SERRA NEGRA</t>
  </si>
  <si>
    <t>SP - SERRANA</t>
  </si>
  <si>
    <t>SP - SERTÃOZINHO</t>
  </si>
  <si>
    <t>SP - SETE BARRAS</t>
  </si>
  <si>
    <t>SP - SEVERÍNIA</t>
  </si>
  <si>
    <t>SP - SILVEIRAS</t>
  </si>
  <si>
    <t>SP - SOCORRO</t>
  </si>
  <si>
    <t>SP - SOROCABA</t>
  </si>
  <si>
    <t>SP - SUD MENNUCCI</t>
  </si>
  <si>
    <t>SP - SUMARÉ</t>
  </si>
  <si>
    <t>SP - SUZANÁPOLIS</t>
  </si>
  <si>
    <t>SP - SUZANO</t>
  </si>
  <si>
    <t>SP - TABAPUÃ</t>
  </si>
  <si>
    <t>SP - TABATINGA</t>
  </si>
  <si>
    <t>SP - TABOÃO DA SERRA</t>
  </si>
  <si>
    <t>SP - TACIBA</t>
  </si>
  <si>
    <t>SP - TAGUAÍ</t>
  </si>
  <si>
    <t>SP - TAIAÇU</t>
  </si>
  <si>
    <t>SP - TAIÚVA</t>
  </si>
  <si>
    <t>SP - TAMBAÚ</t>
  </si>
  <si>
    <t>SP - TANABI</t>
  </si>
  <si>
    <t>SP - TAPIRAÍ</t>
  </si>
  <si>
    <t>SP - TAPIRATIBA</t>
  </si>
  <si>
    <t>SP - TAQUARAL</t>
  </si>
  <si>
    <t>SP - TAQUARITINGA</t>
  </si>
  <si>
    <t>SP - TAQUARITUBA</t>
  </si>
  <si>
    <t>SP - TAQUARIVAÍ</t>
  </si>
  <si>
    <t>SP - TARABAI</t>
  </si>
  <si>
    <t>SP - TARUMÃ</t>
  </si>
  <si>
    <t>SP - TATUÍ</t>
  </si>
  <si>
    <t>SP - TAUBATÉ</t>
  </si>
  <si>
    <t>SP - TEJUPÁ</t>
  </si>
  <si>
    <t>SP - TEODORO SAMPAIO</t>
  </si>
  <si>
    <t>SP - TERRA ROXA</t>
  </si>
  <si>
    <t>SP - TIETÊ</t>
  </si>
  <si>
    <t>SP - TIMBURI</t>
  </si>
  <si>
    <t>SP - TORRE DE PEDRA</t>
  </si>
  <si>
    <t>SP - TORRINHA</t>
  </si>
  <si>
    <t>SP - TRABIJU</t>
  </si>
  <si>
    <t>SP - TREMEMBÉ</t>
  </si>
  <si>
    <t>SP - TRÊS FRONTEIRAS</t>
  </si>
  <si>
    <t>SP - TUIUTI</t>
  </si>
  <si>
    <t>SP - TUPÃ</t>
  </si>
  <si>
    <t>SP - TUPI PAULISTA</t>
  </si>
  <si>
    <t>SP - TURIÚBA</t>
  </si>
  <si>
    <t>SP - TURMALINA</t>
  </si>
  <si>
    <t>SP - UBARANA</t>
  </si>
  <si>
    <t>SP - UBATUBA</t>
  </si>
  <si>
    <t>SP - UBIRAJARA</t>
  </si>
  <si>
    <t>SP - UCHOA</t>
  </si>
  <si>
    <t>SP - UNIÃO PAULISTA</t>
  </si>
  <si>
    <t>SP - URÂNIA</t>
  </si>
  <si>
    <t>SP - URU</t>
  </si>
  <si>
    <t>SP - URUPÊS</t>
  </si>
  <si>
    <t>SP - VALENTIM GENTIL</t>
  </si>
  <si>
    <t>SP - VALINHOS</t>
  </si>
  <si>
    <t>SP - VALPARAÍSO</t>
  </si>
  <si>
    <t>SP - VARGEM</t>
  </si>
  <si>
    <t>SP - VARGEM GRANDE DO SUL</t>
  </si>
  <si>
    <t>SP - VARGEM GRANDE PAULISTA</t>
  </si>
  <si>
    <t>SP - VÁRZEA PAULISTA</t>
  </si>
  <si>
    <t>SP - VERA CRUZ</t>
  </si>
  <si>
    <t>SP - VINHEDO</t>
  </si>
  <si>
    <t>SP - VIRADOURO</t>
  </si>
  <si>
    <t>SP - VISTA ALEGRE DO ALTO</t>
  </si>
  <si>
    <t>SP - VITÓRIA BRASIL</t>
  </si>
  <si>
    <t>SP - VOTORANTIM</t>
  </si>
  <si>
    <t>SP - VOTUPORANGA</t>
  </si>
  <si>
    <t>SP - ZACARIAS</t>
  </si>
  <si>
    <t xml:space="preserve"> Escolha a  distribuidora:</t>
  </si>
  <si>
    <t>CEE E CED</t>
  </si>
  <si>
    <r>
      <rPr>
        <sz val="14"/>
        <color theme="0"/>
        <rFont val="Calibri"/>
        <family val="2"/>
        <scheme val="minor"/>
      </rPr>
      <t>As informações de</t>
    </r>
    <r>
      <rPr>
        <b/>
        <sz val="14"/>
        <color theme="0"/>
        <rFont val="Calibri"/>
        <family val="2"/>
      </rPr>
      <t xml:space="preserve"> ICMS</t>
    </r>
    <r>
      <rPr>
        <sz val="14"/>
        <color theme="0"/>
        <rFont val="Calibri"/>
        <family val="2"/>
      </rPr>
      <t xml:space="preserve"> devem ser preenchidas conforme Estado e faixa de consumo do cliente. Em caso de não preenchimento, será considerado item </t>
    </r>
    <r>
      <rPr>
        <b/>
        <sz val="14"/>
        <color theme="0"/>
        <rFont val="Calibri"/>
        <family val="2"/>
      </rPr>
      <t>DESCLASSIFICATÓRIO</t>
    </r>
    <r>
      <rPr>
        <sz val="14"/>
        <color theme="0"/>
        <rFont val="Calibri"/>
        <family val="2"/>
      </rPr>
      <t>.</t>
    </r>
  </si>
  <si>
    <t>MÊS</t>
  </si>
  <si>
    <t>Tributação</t>
  </si>
  <si>
    <t>Total</t>
  </si>
  <si>
    <t>ICMS</t>
  </si>
  <si>
    <t>PARÂMETROS ILUMINAÇÃO PÚBLICA</t>
  </si>
  <si>
    <t>Município</t>
  </si>
  <si>
    <t>Horas dia</t>
  </si>
  <si>
    <t>Horas Ponta</t>
  </si>
  <si>
    <t>Resolução Aneel</t>
  </si>
  <si>
    <t>Fator de carga</t>
  </si>
  <si>
    <t>FC</t>
  </si>
  <si>
    <t>Constante k</t>
  </si>
  <si>
    <t>k</t>
  </si>
  <si>
    <t>Periodo</t>
  </si>
  <si>
    <t>Consumo Ponta [a]</t>
  </si>
  <si>
    <t>Consumo Fora Ponta [b]</t>
  </si>
  <si>
    <t>Consumo total (kWh/mês)</t>
  </si>
  <si>
    <t>Mês 12</t>
  </si>
  <si>
    <t>Mês 11</t>
  </si>
  <si>
    <t>Mês 10</t>
  </si>
  <si>
    <t>Mês 09</t>
  </si>
  <si>
    <t>Mês 08</t>
  </si>
  <si>
    <t>Mês 07</t>
  </si>
  <si>
    <t>Mês 06</t>
  </si>
  <si>
    <t>Mês 05</t>
  </si>
  <si>
    <t>Mês 04</t>
  </si>
  <si>
    <t>Mês 03</t>
  </si>
  <si>
    <t>Mês 02</t>
  </si>
  <si>
    <t>Mês 01</t>
  </si>
  <si>
    <t>Média</t>
  </si>
  <si>
    <t>UC</t>
  </si>
  <si>
    <t>Demanda</t>
  </si>
  <si>
    <t>IDENTIFICAÇÃO DO PROJETO</t>
  </si>
  <si>
    <t>Concessionária</t>
  </si>
  <si>
    <t>Confira se a distribuidora selecionada, confere com o projeto.</t>
  </si>
  <si>
    <t>Nome do projeto</t>
  </si>
  <si>
    <t>Responsável</t>
  </si>
  <si>
    <t>Telefone</t>
  </si>
  <si>
    <t>e-mail</t>
  </si>
  <si>
    <t>Localização</t>
  </si>
  <si>
    <t>Taxa de desconto (i)</t>
  </si>
  <si>
    <t>Tipologia do projeto</t>
  </si>
  <si>
    <t>Endereço</t>
  </si>
  <si>
    <t>UC principal</t>
  </si>
  <si>
    <t>CNPJ</t>
  </si>
  <si>
    <t>Contratação</t>
  </si>
  <si>
    <t>Modalidade tarifária</t>
  </si>
  <si>
    <t>AVALIAÇÃO EX ANTE - RESUMO DAS AÇÕES PREVISTAS NO PROJETO</t>
  </si>
  <si>
    <t>O presente projeto prevê ações nos seguintes usos finais</t>
  </si>
  <si>
    <t>Solar fotovoltaico</t>
  </si>
  <si>
    <t>VALORES DE CEE E CED - EX ANTE</t>
  </si>
  <si>
    <t xml:space="preserve">CEE = </t>
  </si>
  <si>
    <t>R$/MWh</t>
  </si>
  <si>
    <t xml:space="preserve">CED = </t>
  </si>
  <si>
    <t>R$/kW ano</t>
  </si>
  <si>
    <t xml:space="preserve">Resolução Aneel </t>
  </si>
  <si>
    <t>Data da resolução</t>
  </si>
  <si>
    <t xml:space="preserve">Fator de carga </t>
  </si>
  <si>
    <t xml:space="preserve">Constante k </t>
  </si>
  <si>
    <t>CUSTO TOTAL ESTIMADO</t>
  </si>
  <si>
    <t>Recursos próprios (PEE)</t>
  </si>
  <si>
    <t>ENERGIA ECONOMIZADA</t>
  </si>
  <si>
    <t>MWh/ano</t>
  </si>
  <si>
    <t>Contrapartida do cliente</t>
  </si>
  <si>
    <t>REDUÇÃO DE DEMANDA NA PONTA</t>
  </si>
  <si>
    <t>kW</t>
  </si>
  <si>
    <t>Contrapartida da empresa executora</t>
  </si>
  <si>
    <t>Vida útil média esperada</t>
  </si>
  <si>
    <t>meses</t>
  </si>
  <si>
    <r>
      <t>RCB</t>
    </r>
    <r>
      <rPr>
        <b/>
        <vertAlign val="subscript"/>
        <sz val="22"/>
        <color indexed="8"/>
        <rFont val="Calibri"/>
        <family val="2"/>
      </rPr>
      <t>LIMITE</t>
    </r>
    <r>
      <rPr>
        <b/>
        <sz val="22"/>
        <color indexed="8"/>
        <rFont val="Calibri"/>
        <family val="2"/>
      </rPr>
      <t xml:space="preserve"> = </t>
    </r>
  </si>
  <si>
    <t>AVALIAÇÃO EX POST - RESUMO DAS AÇÕES REALIZADAS NO PROJETO</t>
  </si>
  <si>
    <t>O presente projeto realizou ações nos seguintes usos finais</t>
  </si>
  <si>
    <t>VALORES DE CEE E CED - EX POST</t>
  </si>
  <si>
    <t xml:space="preserve">Resolução publicada em </t>
  </si>
  <si>
    <t>CUSTO TOTAL REALIZADO</t>
  </si>
  <si>
    <t>Contrapartida de terceiros</t>
  </si>
  <si>
    <t>Contrapartida do consumidor</t>
  </si>
  <si>
    <t>Vida útil média realizada</t>
  </si>
  <si>
    <r>
      <t>RCB</t>
    </r>
    <r>
      <rPr>
        <b/>
        <vertAlign val="subscript"/>
        <sz val="22"/>
        <color indexed="8"/>
        <rFont val="Calibri"/>
        <family val="2"/>
      </rPr>
      <t>EX_POST</t>
    </r>
    <r>
      <rPr>
        <b/>
        <sz val="22"/>
        <color indexed="8"/>
        <rFont val="Calibri"/>
        <family val="2"/>
      </rPr>
      <t xml:space="preserve"> = </t>
    </r>
  </si>
  <si>
    <t>CÁLCULO DA RELAÇÃO CUSTO-BENEFÍCIO - EX ANTE</t>
  </si>
  <si>
    <r>
      <t xml:space="preserve">O não atendimento dos limites definidos de RCB é item </t>
    </r>
    <r>
      <rPr>
        <b/>
        <sz val="16"/>
        <color indexed="9"/>
        <rFont val="Calibri"/>
        <family val="2"/>
      </rPr>
      <t>desclassificatório</t>
    </r>
    <r>
      <rPr>
        <sz val="16"/>
        <color indexed="9"/>
        <rFont val="Calibri"/>
        <family val="2"/>
      </rPr>
      <t>.</t>
    </r>
  </si>
  <si>
    <t>Uso final</t>
  </si>
  <si>
    <t>EE</t>
  </si>
  <si>
    <t>RDP</t>
  </si>
  <si>
    <r>
      <t>CA</t>
    </r>
    <r>
      <rPr>
        <b/>
        <vertAlign val="subscript"/>
        <sz val="11"/>
        <color indexed="8"/>
        <rFont val="Calibri"/>
        <family val="2"/>
      </rPr>
      <t>T_PEE</t>
    </r>
  </si>
  <si>
    <t>BA</t>
  </si>
  <si>
    <r>
      <t>RCB</t>
    </r>
    <r>
      <rPr>
        <b/>
        <vertAlign val="subscript"/>
        <sz val="11"/>
        <color indexed="8"/>
        <rFont val="Calibri"/>
        <family val="2"/>
      </rPr>
      <t>PEE</t>
    </r>
  </si>
  <si>
    <r>
      <t>RCB</t>
    </r>
    <r>
      <rPr>
        <b/>
        <vertAlign val="subscript"/>
        <sz val="11"/>
        <color indexed="9"/>
        <rFont val="Calibri"/>
        <family val="2"/>
      </rPr>
      <t>EX_ANTE_PEE</t>
    </r>
  </si>
  <si>
    <r>
      <t>CA</t>
    </r>
    <r>
      <rPr>
        <b/>
        <vertAlign val="subscript"/>
        <sz val="11"/>
        <color indexed="8"/>
        <rFont val="Calibri"/>
        <family val="2"/>
      </rPr>
      <t>T_TOTAL</t>
    </r>
  </si>
  <si>
    <r>
      <t>RCB</t>
    </r>
    <r>
      <rPr>
        <b/>
        <vertAlign val="subscript"/>
        <sz val="11"/>
        <color indexed="8"/>
        <rFont val="Calibri"/>
        <family val="2"/>
      </rPr>
      <t>TOTAL</t>
    </r>
  </si>
  <si>
    <r>
      <t>RCB</t>
    </r>
    <r>
      <rPr>
        <b/>
        <vertAlign val="subscript"/>
        <sz val="11"/>
        <color indexed="9"/>
        <rFont val="Calibri"/>
        <family val="2"/>
      </rPr>
      <t>EX_ANTE_TOTAL</t>
    </r>
  </si>
  <si>
    <t>Energia</t>
  </si>
  <si>
    <t>Redução de</t>
  </si>
  <si>
    <t>Custo</t>
  </si>
  <si>
    <t>Benefício</t>
  </si>
  <si>
    <t>Por uso</t>
  </si>
  <si>
    <t>economizada</t>
  </si>
  <si>
    <t>demanda na ponta</t>
  </si>
  <si>
    <t>anualizado</t>
  </si>
  <si>
    <t>final</t>
  </si>
  <si>
    <t>PEE</t>
  </si>
  <si>
    <t>total</t>
  </si>
  <si>
    <t>Sistema Fotovoltaico</t>
  </si>
  <si>
    <t>AVALIAÇÃO PRELIMINAR DO PROJETO
CONFORME CRITÉRIOS ANEEL</t>
  </si>
  <si>
    <t>CÁLCULO DA RELAÇÃO CUSTO-BENEFÍCIO - EX POST</t>
  </si>
  <si>
    <r>
      <t>RCB</t>
    </r>
    <r>
      <rPr>
        <b/>
        <vertAlign val="subscript"/>
        <sz val="11"/>
        <color indexed="9"/>
        <rFont val="Calibri"/>
        <family val="2"/>
      </rPr>
      <t>EX_POST_PEE</t>
    </r>
  </si>
  <si>
    <r>
      <t>RCB</t>
    </r>
    <r>
      <rPr>
        <b/>
        <vertAlign val="subscript"/>
        <sz val="11"/>
        <color indexed="9"/>
        <rFont val="Calibri"/>
        <family val="2"/>
      </rPr>
      <t>EX_POST_TOTAL</t>
    </r>
  </si>
  <si>
    <t>Financiamento solicitado ao PEE - Ex post</t>
  </si>
  <si>
    <t>Energia economizada</t>
  </si>
  <si>
    <t>Redução de demanda na ponta</t>
  </si>
  <si>
    <t>R$/kW</t>
  </si>
  <si>
    <t>VALORES LIMITES DE RCB PARA O PROJETO DE EFICIÊNCIA ENERGÉTICA</t>
  </si>
  <si>
    <t>LIMITADOR</t>
  </si>
  <si>
    <t>Fundo Perdido/Bônus</t>
  </si>
  <si>
    <t>Investimento em Fonte Incentivada &gt; 50%</t>
  </si>
  <si>
    <t>TIPO DE CUSTOS - EX ANTE</t>
  </si>
  <si>
    <t>CUSTOS TOTAIS</t>
  </si>
  <si>
    <t>ORIGEM DOS RECURSOS</t>
  </si>
  <si>
    <r>
      <t xml:space="preserve">O não atendimento dos limites definidos  é item </t>
    </r>
    <r>
      <rPr>
        <b/>
        <sz val="16"/>
        <color indexed="9"/>
        <rFont val="Calibri"/>
        <family val="2"/>
      </rPr>
      <t>desclassificatório</t>
    </r>
    <r>
      <rPr>
        <sz val="16"/>
        <color indexed="9"/>
        <rFont val="Calibri"/>
        <family val="2"/>
      </rPr>
      <t>.</t>
    </r>
  </si>
  <si>
    <t>R$</t>
  </si>
  <si>
    <t>%</t>
  </si>
  <si>
    <t>Recursos próprios</t>
  </si>
  <si>
    <t>Recursos do</t>
  </si>
  <si>
    <t>Recursos da</t>
  </si>
  <si>
    <t>cliente</t>
  </si>
  <si>
    <t>empresa executora</t>
  </si>
  <si>
    <t>CUSTOS DIRETOS - EX ANTE</t>
  </si>
  <si>
    <t>Materiais e equipamentos</t>
  </si>
  <si>
    <t>Mão de obra de terceiros</t>
  </si>
  <si>
    <t>Total custos diretos</t>
  </si>
  <si>
    <t>CUSTOS INDIRETOS - EX ANTE</t>
  </si>
  <si>
    <t>Marketing</t>
  </si>
  <si>
    <t>Administração Própria</t>
  </si>
  <si>
    <t>Treinamento e capacitação</t>
  </si>
  <si>
    <t>Descarte de materiais</t>
  </si>
  <si>
    <t>Medição e verificação</t>
  </si>
  <si>
    <t>Auditoria contábil</t>
  </si>
  <si>
    <t>Outros custos indiretos</t>
  </si>
  <si>
    <t>Total custos indiretos</t>
  </si>
  <si>
    <t>CUSTO TOTAL DO PROJETO - EX ANTE</t>
  </si>
  <si>
    <t>CUSTOS DIRETOS - EX POST</t>
  </si>
  <si>
    <t>Outros custos diretos</t>
  </si>
  <si>
    <t>CUSTOS INDIRETOS - EX POST</t>
  </si>
  <si>
    <t>Administração própria</t>
  </si>
  <si>
    <t>SIMULAÇÃO  DAS PARCELAS DO CONTRATO DE DESEMPENHO</t>
  </si>
  <si>
    <t>Condicionamento</t>
  </si>
  <si>
    <t>Sistemas</t>
  </si>
  <si>
    <t>Sistemas de</t>
  </si>
  <si>
    <t>Aquecimento</t>
  </si>
  <si>
    <t>Solar</t>
  </si>
  <si>
    <t>Consumo de energia</t>
  </si>
  <si>
    <t>ambiental</t>
  </si>
  <si>
    <t>motrizes</t>
  </si>
  <si>
    <t>refrigeração</t>
  </si>
  <si>
    <t>solar de água</t>
  </si>
  <si>
    <t>Fotovoltaico</t>
  </si>
  <si>
    <t>kWh/mês</t>
  </si>
  <si>
    <t>Benefício mensal</t>
  </si>
  <si>
    <t>Vida útil média estimada</t>
  </si>
  <si>
    <t>anos</t>
  </si>
  <si>
    <t>RESUMO DO PROJETO</t>
  </si>
  <si>
    <t>Amortização mínima mensal</t>
  </si>
  <si>
    <t>Valor total do projeto</t>
  </si>
  <si>
    <t>Vida útil média dos equipamentos</t>
  </si>
  <si>
    <t>Valor financiado</t>
  </si>
  <si>
    <t>Nº Parcelas para quitação do saldo</t>
  </si>
  <si>
    <t>RESUMO DO CÁLCULO DAS PARCELAS</t>
  </si>
  <si>
    <t>PARCELA MENSAL ANO 1</t>
  </si>
  <si>
    <t xml:space="preserve">PARCELA MENSAL ANO 4   </t>
  </si>
  <si>
    <t>Parcela 36</t>
  </si>
  <si>
    <t>+ IPCA ANO 3</t>
  </si>
  <si>
    <t>PARCELA MENSAL ANO 2</t>
  </si>
  <si>
    <t>+ IPCA ANO 1</t>
  </si>
  <si>
    <t xml:space="preserve">PARCELA MENSAL ANO 5   </t>
  </si>
  <si>
    <t>Parcela 48</t>
  </si>
  <si>
    <t>+ IPCA ANO 4</t>
  </si>
  <si>
    <t>PARCELA MENSAL ANO 3</t>
  </si>
  <si>
    <t>Parcela 24</t>
  </si>
  <si>
    <t>+ IPCA ANO 2</t>
  </si>
  <si>
    <t>Observação: O número de parcelas é calculado de acordo com o Benefício Mensal simulado, limitado a 60 meses.</t>
  </si>
  <si>
    <t>MEDIÇÃO E VERIFICAÇÃO - EX ANTE</t>
  </si>
  <si>
    <t>PREMISSAS PARA A MEDIÇÃO E VERIFICAÇÃO</t>
  </si>
  <si>
    <t>Confiabilidade mínima aceitável</t>
  </si>
  <si>
    <t>Valor padrão da distribuição normal (95%)</t>
  </si>
  <si>
    <t>Nível de precisão aceitável</t>
  </si>
  <si>
    <t>ILUMINAÇÃO - EX ANTE</t>
  </si>
  <si>
    <t>PERÍODO DE REFERÊNCIA</t>
  </si>
  <si>
    <t>Descrição de serviço</t>
  </si>
  <si>
    <t>Quantidade</t>
  </si>
  <si>
    <t>Preço unitário</t>
  </si>
  <si>
    <t>Próprios (PEE)</t>
  </si>
  <si>
    <t>Plano de M&amp;V -  Iluminação</t>
  </si>
  <si>
    <t>Descrição do equipamento</t>
  </si>
  <si>
    <t>CV</t>
  </si>
  <si>
    <t>População</t>
  </si>
  <si>
    <t>Amostragem</t>
  </si>
  <si>
    <t>Sub total - Custos medição e verificação iluminação - Período de referência</t>
  </si>
  <si>
    <t>PERÍODO PÓS-RETROFIT</t>
  </si>
  <si>
    <t>Relatório de M&amp;V -  Iluminação</t>
  </si>
  <si>
    <t>Sub total - Custos medição e verificação iluminação - Período pós-retrofit</t>
  </si>
  <si>
    <t>Sub total - Custos medição e verificação iluminação</t>
  </si>
  <si>
    <t>CONDICIONAMENTO AMBIENTAL - EX ANTE</t>
  </si>
  <si>
    <t>Plano de M&amp;V - Condicionamento Ambiental</t>
  </si>
  <si>
    <t>Sub total - Custos medição e verificação condicionamento ambiental - Período de referência</t>
  </si>
  <si>
    <t>Relatório de M&amp;V - Condicionamento Ambiental</t>
  </si>
  <si>
    <t>Sub total - Custos medição e verificação condicionamento ambiental - Período pós-retrofit</t>
  </si>
  <si>
    <t>Sub total - Custos medição e verificação condicionamento ambiental</t>
  </si>
  <si>
    <t>SISTEMAS MOTRIZES - EX ANTE</t>
  </si>
  <si>
    <t>Plano de M&amp;V - Sistema Motrizes</t>
  </si>
  <si>
    <t>Sub total - Custos medição e verificação sistemas motrizes - Período de referência</t>
  </si>
  <si>
    <t>Relatório de M&amp;V - Sistema Motrizes</t>
  </si>
  <si>
    <t>Sub total - Custos medição e verificação sistemas motrizes - Período pós-retrofit</t>
  </si>
  <si>
    <t>Sub total - Custos medição e verificação sistemas motrizes</t>
  </si>
  <si>
    <t>SISTEMAS DE REFRIGERAÇÃO - EX ANTE</t>
  </si>
  <si>
    <t>Plano de M&amp;V</t>
  </si>
  <si>
    <t>Sub total - Custos medição e verificação sistemas de refrigeração - Período de referência</t>
  </si>
  <si>
    <t>Relatório de M&amp;V - Refrigeração</t>
  </si>
  <si>
    <t>Sub total - Custos medição e verificação sistemas de refrigeração - Período pós-retrofit</t>
  </si>
  <si>
    <t>Sub total - Custos medição e verificação sistemas de refrigeração</t>
  </si>
  <si>
    <t>AQUECIMENTO SOLAR DE ÁGUA - EX ANTE</t>
  </si>
  <si>
    <t>Plano de M&amp;V - Aquecimento Solar de Água</t>
  </si>
  <si>
    <t>Sub total - Custos medição e verificação aquecimento solar de água - Período de referência</t>
  </si>
  <si>
    <t>Relatório de M&amp;V Aquecimento Solar de Água</t>
  </si>
  <si>
    <t>Sub total - Custos medição e verificação aquecimento solar de água - Período pós-retrofit</t>
  </si>
  <si>
    <t>Sub total - Custos medição e verificação aquecimento solar de água</t>
  </si>
  <si>
    <t>SISTEMA SOLAR FOTOVOLTAICO - Medição 12 meses</t>
  </si>
  <si>
    <t>Relatório de M&amp;V - Sistema Solar Fotovoltaico</t>
  </si>
  <si>
    <t>Sub total - Custos medição e verificação sistema solar fotovoltaico - Período pós-retrofit</t>
  </si>
  <si>
    <t>Sub total - Custos medição e verificação sistema solar fotovoltaico</t>
  </si>
  <si>
    <t>OUTROS - EX ANTE</t>
  </si>
  <si>
    <t xml:space="preserve">Plano de M&amp;V - Outros </t>
  </si>
  <si>
    <t>Sub total - Custos medição e verificação outros - Período de referência</t>
  </si>
  <si>
    <t>Relatório de M&amp;V - Outros</t>
  </si>
  <si>
    <t>Sub total - Custos medição e verificação outros - Período pós-retrofit</t>
  </si>
  <si>
    <t>Sub total - Custos medição e verificação outros</t>
  </si>
  <si>
    <t>Sub total - Custos medição e verificação - Ex ante</t>
  </si>
  <si>
    <t>MEDIÇÃO E VERIFICAÇÃO - EX POST</t>
  </si>
  <si>
    <t>ILUMINAÇÃO - EX POST</t>
  </si>
  <si>
    <t>Precisão</t>
  </si>
  <si>
    <t>CONDICIONAMENTO AMBIENTAL - EX POST</t>
  </si>
  <si>
    <t>SISTEMAS MOTRIZES - EX POST</t>
  </si>
  <si>
    <t>SISTEMAS DE REFRIGERAÇÃO - EX POST</t>
  </si>
  <si>
    <t>AQUECIMENTO SOLAR DE ÁGUA - EX POST</t>
  </si>
  <si>
    <t>EQUIPAMENTOS HOSPITALARES - EX POST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</si>
  <si>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</si>
  <si>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</si>
  <si>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</si>
  <si>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OUTROS - EX POST</t>
  </si>
  <si>
    <t>SUB TOTAL MEDIÇÃO E VERIFICAÇÃO - EX POST</t>
  </si>
  <si>
    <t>DESCARTE DE EQUIPAMENTOS - EX ANTE</t>
  </si>
  <si>
    <t>Sub total - Custos descarte de equipamentos iluminação</t>
  </si>
  <si>
    <t>Sub total - Custos descarte de equipamentos condicionamento ambiental</t>
  </si>
  <si>
    <t>Sub total - Custos descarte de equipamentos sistemas motrizes</t>
  </si>
  <si>
    <t>Sub total - Custos descarte de equipamentos sistemas de refrigeração</t>
  </si>
  <si>
    <t>Sub total - Custos descarte de equipamentos aquecimento solar de água</t>
  </si>
  <si>
    <t>SOLAR FOTOVOLTAICO - EX ANTE</t>
  </si>
  <si>
    <t>Sub total - Custos descarte de equipamentos solar fotovoltaico</t>
  </si>
  <si>
    <t>Sub total - Custos descarte de equipamentos outros</t>
  </si>
  <si>
    <t>Sub total - Custos descarte de equipamentos - Ex ante</t>
  </si>
  <si>
    <t>DESCARTE DE EQUIPAMENTOS - EX POST</t>
  </si>
  <si>
    <t>SOLAR FOTOVOLTAICO - EX POST</t>
  </si>
  <si>
    <t>Sub total - Custos descarte de equipamentos equipamentos hospitalares</t>
  </si>
  <si>
    <t>Sub total - Custos descarte de equipamentos - Ex post</t>
  </si>
  <si>
    <t>CUSTOS ANUALIZADOS - EX ANTE</t>
  </si>
  <si>
    <t>MATERIAIS E EQUIPAMENTOS</t>
  </si>
  <si>
    <t>RECURSOS PRÓPRIOS (PEE)</t>
  </si>
  <si>
    <t>CONTRAPARTIDA</t>
  </si>
  <si>
    <t>Vida útil</t>
  </si>
  <si>
    <t>Cliente</t>
  </si>
  <si>
    <t>Empresa Executora</t>
  </si>
  <si>
    <t>Custo total</t>
  </si>
  <si>
    <t>FRC</t>
  </si>
  <si>
    <r>
      <t>CA</t>
    </r>
    <r>
      <rPr>
        <b/>
        <vertAlign val="subscript"/>
        <sz val="11"/>
        <color indexed="8"/>
        <rFont val="Calibri"/>
        <family val="2"/>
      </rPr>
      <t>PEE</t>
    </r>
  </si>
  <si>
    <r>
      <t>CA</t>
    </r>
    <r>
      <rPr>
        <b/>
        <vertAlign val="subscript"/>
        <sz val="11"/>
        <color indexed="8"/>
        <rFont val="Calibri"/>
        <family val="2"/>
      </rPr>
      <t>TOTAL</t>
    </r>
  </si>
  <si>
    <t>Acessórios</t>
  </si>
  <si>
    <t>Sub total - Materiais e equipamentos iluminação</t>
  </si>
  <si>
    <t>Custo anualizado total iluminação - Ex ante</t>
  </si>
  <si>
    <r>
      <t>CA</t>
    </r>
    <r>
      <rPr>
        <b/>
        <vertAlign val="subscript"/>
        <sz val="11"/>
        <color indexed="9"/>
        <rFont val="Calibri"/>
        <family val="2"/>
      </rPr>
      <t>T_ILUM</t>
    </r>
  </si>
  <si>
    <t>MÃO DE OBRA</t>
  </si>
  <si>
    <r>
      <t>RCB</t>
    </r>
    <r>
      <rPr>
        <vertAlign val="subscript"/>
        <sz val="11"/>
        <color indexed="8"/>
        <rFont val="Calibri"/>
        <family val="2"/>
      </rPr>
      <t>ILUM_PEE</t>
    </r>
  </si>
  <si>
    <r>
      <t>RCB</t>
    </r>
    <r>
      <rPr>
        <vertAlign val="subscript"/>
        <sz val="11"/>
        <color indexed="8"/>
        <rFont val="Calibri"/>
        <family val="2"/>
      </rPr>
      <t>ILUM_TOTAL</t>
    </r>
  </si>
  <si>
    <t>Valor da hora</t>
  </si>
  <si>
    <r>
      <t>RCB</t>
    </r>
    <r>
      <rPr>
        <vertAlign val="subscript"/>
        <sz val="11"/>
        <color indexed="8"/>
        <rFont val="Calibri"/>
        <family val="2"/>
      </rPr>
      <t>PROJETO_PEE</t>
    </r>
  </si>
  <si>
    <r>
      <t>RCB</t>
    </r>
    <r>
      <rPr>
        <vertAlign val="subscript"/>
        <sz val="11"/>
        <color indexed="8"/>
        <rFont val="Calibri"/>
        <family val="2"/>
      </rPr>
      <t>PROJETO_TOTAL</t>
    </r>
  </si>
  <si>
    <t>Diagnóstico</t>
  </si>
  <si>
    <t>Mão de obra de implementação</t>
  </si>
  <si>
    <t>Relatório Final</t>
  </si>
  <si>
    <t>Sub total - Mão de obra de terceiros iluminação</t>
  </si>
  <si>
    <t>Sub total - Custos diretos iluminação</t>
  </si>
  <si>
    <t>CUSTOS INDIRETOS</t>
  </si>
  <si>
    <t>Treinamento e capacitação - Total</t>
  </si>
  <si>
    <t>Sub total - Custos indiretos iluminação</t>
  </si>
  <si>
    <t>Sub total - Custos iluminação - Ex ante</t>
  </si>
  <si>
    <t>CUSTOS ANUALIZADOS - EX POST</t>
  </si>
  <si>
    <t>Terceiros</t>
  </si>
  <si>
    <t>Consumidor</t>
  </si>
  <si>
    <t>Custo anualizado total iluminação - Ex post</t>
  </si>
  <si>
    <t>Sub total - Mão de obra iluminação</t>
  </si>
  <si>
    <t>TRANSPORTE E OUTROS CUSTOS DIRETOS</t>
  </si>
  <si>
    <t>Sub total - Transporte e outros custos diretos iluminação</t>
  </si>
  <si>
    <t xml:space="preserve">Sub total - Custos diretos iluminação </t>
  </si>
  <si>
    <t>Sub total - Custos iluminação - Ex post</t>
  </si>
  <si>
    <t>ILUMINAÇÃO - SISTEMA ATUAL - EX ANTE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</si>
  <si>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</si>
  <si>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</si>
  <si>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</si>
  <si>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</si>
  <si>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</si>
  <si>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</si>
  <si>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</si>
  <si>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</si>
  <si>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</si>
  <si>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</si>
  <si>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</si>
  <si>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</si>
  <si>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</si>
  <si>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</si>
  <si>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</si>
  <si>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</si>
  <si>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</si>
  <si>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</si>
  <si>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</si>
  <si>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</si>
  <si>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</si>
  <si>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</si>
  <si>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</si>
  <si>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</si>
  <si>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</si>
  <si>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</si>
  <si>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</si>
  <si>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</si>
  <si>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</si>
  <si>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</si>
  <si>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</si>
  <si>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</si>
  <si>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</si>
  <si>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</si>
  <si>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</si>
  <si>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</si>
  <si>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</si>
  <si>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</si>
  <si>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</si>
  <si>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</si>
  <si>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</si>
  <si>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</si>
  <si>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</si>
  <si>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</si>
  <si>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</si>
  <si>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</si>
  <si>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</si>
  <si>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</si>
  <si>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</si>
  <si>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</si>
  <si>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</si>
  <si>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</si>
  <si>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</si>
  <si>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</si>
  <si>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</si>
  <si>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</si>
  <si>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</si>
  <si>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</si>
  <si>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</si>
  <si>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</si>
  <si>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</si>
  <si>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</si>
  <si>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</si>
  <si>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</si>
  <si>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</si>
  <si>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</si>
  <si>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</si>
  <si>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</si>
  <si>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</si>
  <si>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</si>
  <si>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</si>
  <si>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</si>
  <si>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</si>
  <si>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</si>
  <si>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</si>
  <si>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</si>
  <si>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</si>
  <si>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</si>
  <si>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</si>
  <si>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</si>
  <si>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</si>
  <si>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</si>
  <si>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</si>
  <si>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</si>
  <si>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</si>
  <si>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</si>
  <si>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</si>
  <si>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</si>
  <si>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</si>
  <si>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</si>
  <si>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</si>
  <si>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</si>
  <si>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</si>
  <si>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</si>
  <si>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</si>
  <si>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</si>
  <si>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</si>
  <si>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</si>
  <si>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</si>
  <si>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</si>
  <si>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Unidade Consumidora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</si>
  <si>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</si>
  <si>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</si>
  <si>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</si>
  <si>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</si>
  <si>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indexed="8"/>
        <rFont val="Calibri"/>
        <family val="2"/>
      </rPr>
      <t>i</t>
    </r>
  </si>
  <si>
    <r>
      <t>qla</t>
    </r>
    <r>
      <rPr>
        <i/>
        <vertAlign val="subscript"/>
        <sz val="11"/>
        <color indexed="8"/>
        <rFont val="Calibri"/>
        <family val="2"/>
      </rPr>
      <t>i</t>
    </r>
  </si>
  <si>
    <t>Reatores</t>
  </si>
  <si>
    <r>
      <t>pra</t>
    </r>
    <r>
      <rPr>
        <i/>
        <vertAlign val="subscript"/>
        <sz val="11"/>
        <color indexed="8"/>
        <rFont val="Calibri"/>
        <family val="2"/>
      </rPr>
      <t>i</t>
    </r>
  </si>
  <si>
    <r>
      <t>qra</t>
    </r>
    <r>
      <rPr>
        <i/>
        <vertAlign val="subscript"/>
        <sz val="11"/>
        <color indexed="8"/>
        <rFont val="Calibri"/>
        <family val="2"/>
      </rPr>
      <t>i</t>
    </r>
  </si>
  <si>
    <t>Potência instalada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</si>
  <si>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</si>
  <si>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</si>
  <si>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</si>
  <si>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</si>
  <si>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</si>
  <si>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</si>
  <si>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</si>
  <si>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indexed="8"/>
        <rFont val="Calibri"/>
        <family val="2"/>
      </rPr>
      <t>i</t>
    </r>
  </si>
  <si>
    <t>Horas de utilização em horário de ponta, em um dia</t>
  </si>
  <si>
    <r>
      <t>nupa</t>
    </r>
    <r>
      <rPr>
        <i/>
        <vertAlign val="subscript"/>
        <sz val="11"/>
        <color indexed="8"/>
        <rFont val="Calibri"/>
        <family val="2"/>
      </rPr>
      <t>i</t>
    </r>
  </si>
  <si>
    <t>Dias úteis de utilização em horário de ponta, em um mês</t>
  </si>
  <si>
    <t>dia/mês</t>
  </si>
  <si>
    <r>
      <t>nda</t>
    </r>
    <r>
      <rPr>
        <i/>
        <vertAlign val="subscript"/>
        <sz val="11"/>
        <color indexed="8"/>
        <rFont val="Calibri"/>
        <family val="2"/>
      </rPr>
      <t>i</t>
    </r>
  </si>
  <si>
    <t>Meses de utilização em horário de ponta, em um ano</t>
  </si>
  <si>
    <t>mês/ano</t>
  </si>
  <si>
    <r>
      <t>nma</t>
    </r>
    <r>
      <rPr>
        <i/>
        <vertAlign val="subscript"/>
        <sz val="11"/>
        <color indexed="8"/>
        <rFont val="Calibri"/>
        <family val="2"/>
      </rPr>
      <t>i</t>
    </r>
  </si>
  <si>
    <t>Potência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</si>
  <si>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</si>
  <si>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Fator de coincidência na ponta</t>
  </si>
  <si>
    <r>
      <t>FCPa</t>
    </r>
    <r>
      <rPr>
        <i/>
        <vertAlign val="subscript"/>
        <sz val="11"/>
        <color indexed="8"/>
        <rFont val="Calibri"/>
        <family val="2"/>
      </rPr>
      <t>i</t>
    </r>
  </si>
  <si>
    <t>Energia consumida</t>
  </si>
  <si>
    <r>
      <t>Ea</t>
    </r>
    <r>
      <rPr>
        <i/>
        <vertAlign val="subscript"/>
        <sz val="11"/>
        <color indexed="8"/>
        <rFont val="Calibri"/>
        <family val="2"/>
      </rPr>
      <t>i</t>
    </r>
  </si>
  <si>
    <t>Demanda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</si>
  <si>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</si>
  <si>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ILUMINAÇÃO - SISTEMA PROPOSTO - EX ANTE</t>
  </si>
  <si>
    <r>
      <t>plp</t>
    </r>
    <r>
      <rPr>
        <i/>
        <vertAlign val="subscript"/>
        <sz val="11"/>
        <color indexed="8"/>
        <rFont val="Calibri"/>
        <family val="2"/>
      </rPr>
      <t>i</t>
    </r>
  </si>
  <si>
    <r>
      <t>qlp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</si>
  <si>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</si>
  <si>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hp</t>
    </r>
    <r>
      <rPr>
        <i/>
        <vertAlign val="subscript"/>
        <sz val="11"/>
        <color indexed="8"/>
        <rFont val="Calibri"/>
        <family val="2"/>
      </rPr>
      <t>i</t>
    </r>
  </si>
  <si>
    <r>
      <t>nupp</t>
    </r>
    <r>
      <rPr>
        <i/>
        <vertAlign val="subscript"/>
        <sz val="11"/>
        <color indexed="8"/>
        <rFont val="Calibri"/>
        <family val="2"/>
      </rPr>
      <t>i</t>
    </r>
  </si>
  <si>
    <r>
      <t>ndp</t>
    </r>
    <r>
      <rPr>
        <i/>
        <vertAlign val="subscript"/>
        <sz val="11"/>
        <color indexed="8"/>
        <rFont val="Calibri"/>
        <family val="2"/>
      </rPr>
      <t>i</t>
    </r>
  </si>
  <si>
    <r>
      <t>nmp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</si>
  <si>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</si>
  <si>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FCPp</t>
    </r>
    <r>
      <rPr>
        <i/>
        <vertAlign val="subscript"/>
        <sz val="11"/>
        <color indexed="8"/>
        <rFont val="Calibri"/>
        <family val="2"/>
      </rPr>
      <t>i</t>
    </r>
  </si>
  <si>
    <r>
      <t>Ep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</si>
  <si>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</si>
  <si>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t>ILUMINAÇÃO - RESULTADOS ESPERADOS - EX ANTE</t>
  </si>
  <si>
    <r>
      <t>RDP</t>
    </r>
    <r>
      <rPr>
        <i/>
        <vertAlign val="subscript"/>
        <sz val="11"/>
        <color indexed="8"/>
        <rFont val="Calibri"/>
        <family val="2"/>
      </rPr>
      <t>i</t>
    </r>
  </si>
  <si>
    <t>Custo evitado de demanda (CED) =</t>
  </si>
  <si>
    <r>
      <t>RDP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</si>
  <si>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EE</t>
    </r>
    <r>
      <rPr>
        <i/>
        <vertAlign val="subscript"/>
        <sz val="11"/>
        <color indexed="8"/>
        <rFont val="Calibri"/>
        <family val="2"/>
      </rPr>
      <t>i</t>
    </r>
  </si>
  <si>
    <t>Custo da energia evitada (CEE) =</t>
  </si>
  <si>
    <r>
      <t>EE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</si>
  <si>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t>Benefício anualizado iluminação - Ex ante</t>
  </si>
  <si>
    <r>
      <t>B</t>
    </r>
    <r>
      <rPr>
        <b/>
        <i/>
        <vertAlign val="subscript"/>
        <sz val="11"/>
        <color indexed="9"/>
        <rFont val="Calibri"/>
        <family val="2"/>
      </rPr>
      <t>ILUM</t>
    </r>
  </si>
  <si>
    <t>Benefício anualizado iluminação - EE</t>
  </si>
  <si>
    <r>
      <t>B</t>
    </r>
    <r>
      <rPr>
        <b/>
        <i/>
        <vertAlign val="subscript"/>
        <sz val="11"/>
        <color indexed="9"/>
        <rFont val="Calibri"/>
        <family val="2"/>
      </rPr>
      <t>ILUM_EE</t>
    </r>
  </si>
  <si>
    <t>Benefício anualizado iluminação - RDP</t>
  </si>
  <si>
    <r>
      <t>B</t>
    </r>
    <r>
      <rPr>
        <b/>
        <i/>
        <vertAlign val="subscript"/>
        <sz val="11"/>
        <color indexed="9"/>
        <rFont val="Calibri"/>
        <family val="2"/>
      </rPr>
      <t>ILUM_RDP</t>
    </r>
  </si>
  <si>
    <t>ILUMINAÇÃO - SISTEMA ATUAL - EX POST</t>
  </si>
  <si>
    <t>Quantidade instalada</t>
  </si>
  <si>
    <r>
      <t>qa</t>
    </r>
    <r>
      <rPr>
        <i/>
        <vertAlign val="subscript"/>
        <sz val="11"/>
        <color indexed="8"/>
        <rFont val="Calibri"/>
        <family val="2"/>
      </rPr>
      <t>i</t>
    </r>
  </si>
  <si>
    <t>Potência unitária (medida)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</si>
  <si>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</si>
  <si>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Desvio - Energia consumida</t>
  </si>
  <si>
    <r>
      <t>Ea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</si>
  <si>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t>Desvio - Demanda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</si>
  <si>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</si>
  <si>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t>ILUMINAÇÃO - SISTEMA PROPOSTO - EX POST</t>
  </si>
  <si>
    <r>
      <t>qp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</si>
  <si>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</si>
  <si>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Ep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</si>
  <si>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</si>
  <si>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t>ILUMINAÇÃO - RESULTADOS REALIZADOS - EX POST</t>
  </si>
  <si>
    <t>Benefício anualizado iluminação - Ex post</t>
  </si>
  <si>
    <t>EQUIPAMENTOS SOLAR FOTOVOLTAICO - EX ANTE</t>
  </si>
  <si>
    <t xml:space="preserve">Sub total - Materiais e equipamentos equipamentos </t>
  </si>
  <si>
    <r>
      <t>CA</t>
    </r>
    <r>
      <rPr>
        <b/>
        <vertAlign val="subscript"/>
        <sz val="11"/>
        <color indexed="9"/>
        <rFont val="Calibri"/>
        <family val="2"/>
      </rPr>
      <t>T_HOSP</t>
    </r>
  </si>
  <si>
    <r>
      <t>RCB</t>
    </r>
    <r>
      <rPr>
        <vertAlign val="subscript"/>
        <sz val="11"/>
        <color indexed="8"/>
        <rFont val="Calibri"/>
        <family val="2"/>
      </rPr>
      <t>SOLARFV_PEE</t>
    </r>
  </si>
  <si>
    <r>
      <t>RCB</t>
    </r>
    <r>
      <rPr>
        <vertAlign val="subscript"/>
        <sz val="11"/>
        <color indexed="8"/>
        <rFont val="Calibri"/>
        <family val="2"/>
      </rPr>
      <t>SOLARFV_TOTAL</t>
    </r>
  </si>
  <si>
    <r>
      <t xml:space="preserve">Custo kWp </t>
    </r>
    <r>
      <rPr>
        <sz val="8"/>
        <color theme="1"/>
        <rFont val="Calibri"/>
        <family val="2"/>
        <scheme val="minor"/>
      </rPr>
      <t>(Potência instalada)</t>
    </r>
  </si>
  <si>
    <r>
      <t xml:space="preserve">Custo kWp </t>
    </r>
    <r>
      <rPr>
        <sz val="8"/>
        <color theme="1"/>
        <rFont val="Calibri"/>
        <family val="2"/>
        <scheme val="minor"/>
      </rPr>
      <t>(Potência média real)</t>
    </r>
  </si>
  <si>
    <t xml:space="preserve">Sub total - Mão de obra de terceiros equipamentos </t>
  </si>
  <si>
    <t>Sub total - Custos diretos FV</t>
  </si>
  <si>
    <t>Sub total - Custos indiretos FV</t>
  </si>
  <si>
    <t>Sub total - Custos Fotovoltaico - Ex ante</t>
  </si>
  <si>
    <t>EQUIPAMENTOS HSOLAR FOTOVOLTAICOS - EX POST</t>
  </si>
  <si>
    <t>Sub total - Materiais e equipamentos equipamentos hospitalares</t>
  </si>
  <si>
    <t>Custo anualizado total equipamentos hospitalares - Ex post</t>
  </si>
  <si>
    <r>
      <t>RCB</t>
    </r>
    <r>
      <rPr>
        <vertAlign val="subscript"/>
        <sz val="11"/>
        <color indexed="8"/>
        <rFont val="Calibri"/>
        <family val="2"/>
      </rPr>
      <t>HOSP_PEE</t>
    </r>
  </si>
  <si>
    <r>
      <t>RCB</t>
    </r>
    <r>
      <rPr>
        <vertAlign val="subscript"/>
        <sz val="11"/>
        <color indexed="8"/>
        <rFont val="Calibri"/>
        <family val="2"/>
      </rPr>
      <t>HOSP_TOTAL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</si>
  <si>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</si>
  <si>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</si>
  <si>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</si>
  <si>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</si>
  <si>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</si>
  <si>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Sub total - Custos equipamentos hospitalares - Ex post</t>
  </si>
  <si>
    <t>DADOS DE GERAÇÃO SISTEMA FOTOVOLTAICO - PREVISTO</t>
  </si>
  <si>
    <t>SFV 1</t>
  </si>
  <si>
    <t>SFV 2</t>
  </si>
  <si>
    <t>SFV 3</t>
  </si>
  <si>
    <t>SFV 4</t>
  </si>
  <si>
    <t>SFV 5</t>
  </si>
  <si>
    <t>SFV 6</t>
  </si>
  <si>
    <t>SFV 7</t>
  </si>
  <si>
    <t>SFV 8</t>
  </si>
  <si>
    <t>SFV 9</t>
  </si>
  <si>
    <t>SFV 10</t>
  </si>
  <si>
    <t>SFV 11</t>
  </si>
  <si>
    <t>SFV 12</t>
  </si>
  <si>
    <t>SFV 13</t>
  </si>
  <si>
    <t>SFV 14</t>
  </si>
  <si>
    <t>SFV 15</t>
  </si>
  <si>
    <t>SFV 16</t>
  </si>
  <si>
    <t>SFV 17</t>
  </si>
  <si>
    <t>SFV 18</t>
  </si>
  <si>
    <t>SFV 19</t>
  </si>
  <si>
    <t>SFV 20</t>
  </si>
  <si>
    <t>Potência dimensionada</t>
  </si>
  <si>
    <t>Wp</t>
  </si>
  <si>
    <t>kWp</t>
  </si>
  <si>
    <t>Fator de utilização</t>
  </si>
  <si>
    <r>
      <t>fua</t>
    </r>
    <r>
      <rPr>
        <i/>
        <vertAlign val="subscript"/>
        <sz val="11"/>
        <color indexed="8"/>
        <rFont val="Calibri"/>
        <family val="2"/>
      </rPr>
      <t>i</t>
    </r>
  </si>
  <si>
    <t>Potência média real</t>
  </si>
  <si>
    <r>
      <t>Pua</t>
    </r>
    <r>
      <rPr>
        <i/>
        <vertAlign val="subscript"/>
        <sz val="11"/>
        <color indexed="8"/>
        <rFont val="Calibri"/>
        <family val="2"/>
      </rPr>
      <t>i</t>
    </r>
  </si>
  <si>
    <t>Tempo médio de utilização dia</t>
  </si>
  <si>
    <t>Energia gerada</t>
  </si>
  <si>
    <t>SOLAR FOTOVOLTAICO - RESULTADOS ESPERADOS - EX ANTE</t>
  </si>
  <si>
    <t>Benefício anualizado Solar Fotovoltaico - Ex ante</t>
  </si>
  <si>
    <r>
      <t>B</t>
    </r>
    <r>
      <rPr>
        <b/>
        <i/>
        <vertAlign val="subscript"/>
        <sz val="11"/>
        <color indexed="9"/>
        <rFont val="Calibri"/>
        <family val="2"/>
      </rPr>
      <t>SFV</t>
    </r>
  </si>
  <si>
    <t>Benefício anualizado Solar Fotovoltaico - EE</t>
  </si>
  <si>
    <r>
      <t>B</t>
    </r>
    <r>
      <rPr>
        <b/>
        <i/>
        <vertAlign val="subscript"/>
        <sz val="11"/>
        <color indexed="9"/>
        <rFont val="Calibri"/>
        <family val="2"/>
      </rPr>
      <t>SFV_EE</t>
    </r>
  </si>
  <si>
    <r>
      <t>RCB</t>
    </r>
    <r>
      <rPr>
        <vertAlign val="subscript"/>
        <sz val="11"/>
        <color indexed="8"/>
        <rFont val="Calibri"/>
        <family val="2"/>
      </rPr>
      <t>SFV_PEE</t>
    </r>
  </si>
  <si>
    <r>
      <t>RCB</t>
    </r>
    <r>
      <rPr>
        <vertAlign val="subscript"/>
        <sz val="11"/>
        <color indexed="8"/>
        <rFont val="Calibri"/>
        <family val="2"/>
      </rPr>
      <t>SFV_TOTAL</t>
    </r>
  </si>
  <si>
    <t>DADOS DE GERAÇÃO SISTEMA FOTOVOLTAICO - MEDIDO</t>
  </si>
  <si>
    <t>Potência média instalada</t>
  </si>
  <si>
    <t>Desvio - Energia gerada</t>
  </si>
  <si>
    <t>SOLAR FOTOVOLTAICO - RESULTADOS REALIZADOS - EX POST</t>
  </si>
  <si>
    <t>Benefício anualizado solar fotovoltaico - Ex post</t>
  </si>
  <si>
    <t>Carregamento</t>
  </si>
  <si>
    <t>Energia gerada/ potência instalada</t>
  </si>
  <si>
    <t>(MWh/ano)/kWp</t>
  </si>
  <si>
    <t>Sub total - Materiais e equipamentos sistemas motrizes</t>
  </si>
  <si>
    <t>Custo anualizado total sistemas motrizes - Ex ante</t>
  </si>
  <si>
    <r>
      <t>CA</t>
    </r>
    <r>
      <rPr>
        <b/>
        <vertAlign val="subscript"/>
        <sz val="11"/>
        <color indexed="9"/>
        <rFont val="Calibri"/>
        <family val="2"/>
      </rPr>
      <t>T_MOTOR</t>
    </r>
  </si>
  <si>
    <r>
      <t>RCB</t>
    </r>
    <r>
      <rPr>
        <vertAlign val="subscript"/>
        <sz val="11"/>
        <color indexed="8"/>
        <rFont val="Calibri"/>
        <family val="2"/>
      </rPr>
      <t>MOTOR_PEE</t>
    </r>
  </si>
  <si>
    <r>
      <t>RCB</t>
    </r>
    <r>
      <rPr>
        <vertAlign val="subscript"/>
        <sz val="11"/>
        <color indexed="8"/>
        <rFont val="Calibri"/>
        <family val="2"/>
      </rPr>
      <t>MOTOR_TOTAL</t>
    </r>
  </si>
  <si>
    <t>Sub total - Mão de obra de terceiros sistemas motrizes</t>
  </si>
  <si>
    <t>Sub total - Custos diretos sistemas motrizes</t>
  </si>
  <si>
    <t>Sub total - Custos indiretos sistemas motrizes</t>
  </si>
  <si>
    <t>Sub total - Custos sistemas motrizes - Ex ante</t>
  </si>
  <si>
    <t>Custo anualizado total sistemas motrizes - Ex post</t>
  </si>
  <si>
    <t>Sub total - Mão de obra sistemas motrizes</t>
  </si>
  <si>
    <t>Sub total - Transporte e outros custos diretos  sistemas motrizes</t>
  </si>
  <si>
    <t>Sub total - Custos sistemas motrizes - Ex post</t>
  </si>
  <si>
    <t>SISTEMAS MOTRIZES - SISTEMA ATUAL - EX ANTE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</si>
  <si>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</si>
  <si>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</si>
  <si>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</si>
  <si>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</si>
  <si>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</si>
  <si>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</si>
  <si>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</si>
  <si>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</si>
  <si>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</si>
  <si>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</si>
  <si>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</si>
  <si>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</si>
  <si>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</si>
  <si>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</si>
  <si>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</si>
  <si>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</si>
  <si>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</si>
  <si>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</si>
  <si>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</si>
  <si>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</si>
  <si>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</si>
  <si>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</si>
  <si>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</si>
  <si>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</si>
  <si>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</si>
  <si>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</si>
  <si>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</si>
  <si>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</si>
  <si>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</si>
  <si>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</si>
  <si>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</si>
  <si>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</si>
  <si>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</si>
  <si>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</si>
  <si>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</si>
  <si>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</si>
  <si>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</si>
  <si>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</si>
  <si>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</si>
  <si>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</si>
  <si>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</si>
  <si>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</si>
  <si>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</si>
  <si>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</si>
  <si>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</si>
  <si>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</si>
  <si>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</si>
  <si>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</si>
  <si>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</si>
  <si>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</si>
  <si>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motor 51</t>
  </si>
  <si>
    <t>motor 52</t>
  </si>
  <si>
    <t>motor 53</t>
  </si>
  <si>
    <t>motor 54</t>
  </si>
  <si>
    <t>motor 55</t>
  </si>
  <si>
    <t>motor 56</t>
  </si>
  <si>
    <t>motor 57</t>
  </si>
  <si>
    <t>motor 58</t>
  </si>
  <si>
    <t>motor 59</t>
  </si>
  <si>
    <t>motor 60</t>
  </si>
  <si>
    <t>motor 61</t>
  </si>
  <si>
    <t>motor 62</t>
  </si>
  <si>
    <t>motor 63</t>
  </si>
  <si>
    <t>motor 64</t>
  </si>
  <si>
    <t>motor 65</t>
  </si>
  <si>
    <t>motor 66</t>
  </si>
  <si>
    <t>motor 67</t>
  </si>
  <si>
    <t>motor 68</t>
  </si>
  <si>
    <t>motor 69</t>
  </si>
  <si>
    <t>motor 70</t>
  </si>
  <si>
    <t>motor 71</t>
  </si>
  <si>
    <t>motor 72</t>
  </si>
  <si>
    <t>motor 73</t>
  </si>
  <si>
    <t>motor 74</t>
  </si>
  <si>
    <t>motor 75</t>
  </si>
  <si>
    <t>motor 76</t>
  </si>
  <si>
    <t>motor 77</t>
  </si>
  <si>
    <t>motor 78</t>
  </si>
  <si>
    <t>motor 79</t>
  </si>
  <si>
    <t>motor 80</t>
  </si>
  <si>
    <t>motor 81</t>
  </si>
  <si>
    <t>motor 82</t>
  </si>
  <si>
    <t>motor 83</t>
  </si>
  <si>
    <t>motor 84</t>
  </si>
  <si>
    <t>motor 85</t>
  </si>
  <si>
    <t>motor 86</t>
  </si>
  <si>
    <t>motor 87</t>
  </si>
  <si>
    <t>motor 88</t>
  </si>
  <si>
    <t>motor 89</t>
  </si>
  <si>
    <t>motor 90</t>
  </si>
  <si>
    <t>motor 91</t>
  </si>
  <si>
    <t>motor 92</t>
  </si>
  <si>
    <t>motor 93</t>
  </si>
  <si>
    <t>motor 94</t>
  </si>
  <si>
    <t>motor 95</t>
  </si>
  <si>
    <t>motor 96</t>
  </si>
  <si>
    <t>motor 97</t>
  </si>
  <si>
    <t>motor 98</t>
  </si>
  <si>
    <t>motor 99</t>
  </si>
  <si>
    <t>motor 100</t>
  </si>
  <si>
    <t>Potência do motor</t>
  </si>
  <si>
    <t>cv</t>
  </si>
  <si>
    <r>
      <t>γa</t>
    </r>
    <r>
      <rPr>
        <i/>
        <vertAlign val="subscript"/>
        <sz val="11"/>
        <color indexed="8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</si>
  <si>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</si>
  <si>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indexed="8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</si>
  <si>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</si>
  <si>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indexed="8"/>
        <rFont val="Calibri"/>
        <family val="2"/>
      </rPr>
      <t>i</t>
    </r>
  </si>
  <si>
    <t>Potência média utilizada</t>
  </si>
  <si>
    <t>SISTEMAS MOTRIZES - SISTEMA PROPOSTO - EX ANTE</t>
  </si>
  <si>
    <r>
      <t>γp</t>
    </r>
    <r>
      <rPr>
        <i/>
        <vertAlign val="subscript"/>
        <sz val="11"/>
        <color indexed="8"/>
        <rFont val="Calibri"/>
        <family val="2"/>
      </rPr>
      <t>i</t>
    </r>
  </si>
  <si>
    <r>
      <t>ηnp</t>
    </r>
    <r>
      <rPr>
        <i/>
        <vertAlign val="subscript"/>
        <sz val="11"/>
        <color indexed="8"/>
        <rFont val="Calibri"/>
        <family val="2"/>
      </rPr>
      <t>i</t>
    </r>
  </si>
  <si>
    <r>
      <t>ηp</t>
    </r>
    <r>
      <rPr>
        <i/>
        <vertAlign val="subscript"/>
        <sz val="11"/>
        <color indexed="8"/>
        <rFont val="Calibri"/>
        <family val="2"/>
      </rPr>
      <t>i</t>
    </r>
  </si>
  <si>
    <r>
      <t>Pup</t>
    </r>
    <r>
      <rPr>
        <i/>
        <vertAlign val="subscript"/>
        <sz val="11"/>
        <color indexed="8"/>
        <rFont val="Calibri"/>
        <family val="2"/>
      </rPr>
      <t>i</t>
    </r>
  </si>
  <si>
    <t>SISTEMAS MOTRIZES - RESULTADOS ESPERADOS - EX ANTE</t>
  </si>
  <si>
    <t>Benefício anualizado sistemas motrizes - Ex ante</t>
  </si>
  <si>
    <r>
      <t>B</t>
    </r>
    <r>
      <rPr>
        <b/>
        <i/>
        <vertAlign val="subscript"/>
        <sz val="11"/>
        <color indexed="9"/>
        <rFont val="Calibri"/>
        <family val="2"/>
      </rPr>
      <t>MOTOR</t>
    </r>
  </si>
  <si>
    <t>Benefício anualizado sistemas motrizes - EE</t>
  </si>
  <si>
    <r>
      <t>B</t>
    </r>
    <r>
      <rPr>
        <b/>
        <i/>
        <vertAlign val="subscript"/>
        <sz val="11"/>
        <color indexed="9"/>
        <rFont val="Calibri"/>
        <family val="2"/>
      </rPr>
      <t>MOTOR_EE</t>
    </r>
  </si>
  <si>
    <t>Benefício anualizado sistemas motrizes - RDP</t>
  </si>
  <si>
    <r>
      <t>B</t>
    </r>
    <r>
      <rPr>
        <b/>
        <i/>
        <vertAlign val="subscript"/>
        <sz val="11"/>
        <color indexed="9"/>
        <rFont val="Calibri"/>
        <family val="2"/>
      </rPr>
      <t>MOTOR_RDP</t>
    </r>
  </si>
  <si>
    <t>SISTEMAS MOTRIZES - SISTEMA ATUAL - EX POST</t>
  </si>
  <si>
    <t>Potência média utilizada por equipamento</t>
  </si>
  <si>
    <r>
      <t>pua</t>
    </r>
    <r>
      <rPr>
        <i/>
        <vertAlign val="subscript"/>
        <sz val="11"/>
        <color indexed="8"/>
        <rFont val="Calibri"/>
        <family val="2"/>
      </rPr>
      <t>i</t>
    </r>
  </si>
  <si>
    <t>Variável dependente para cálculo da energia</t>
  </si>
  <si>
    <r>
      <t>eda</t>
    </r>
    <r>
      <rPr>
        <i/>
        <vertAlign val="subscript"/>
        <sz val="11"/>
        <color indexed="8"/>
        <rFont val="Calibri"/>
        <family val="2"/>
      </rPr>
      <t>i</t>
    </r>
  </si>
  <si>
    <t>Variável independente para cálculo da energia</t>
  </si>
  <si>
    <r>
      <t>eia</t>
    </r>
    <r>
      <rPr>
        <i/>
        <vertAlign val="subscript"/>
        <sz val="11"/>
        <color indexed="8"/>
        <rFont val="Calibri"/>
        <family val="2"/>
      </rPr>
      <t>i</t>
    </r>
  </si>
  <si>
    <t>Energia média consumida</t>
  </si>
  <si>
    <t>kWh</t>
  </si>
  <si>
    <r>
      <t>Eua</t>
    </r>
    <r>
      <rPr>
        <i/>
        <vertAlign val="subscript"/>
        <sz val="11"/>
        <color indexed="8"/>
        <rFont val="Calibri"/>
        <family val="2"/>
      </rPr>
      <t>i</t>
    </r>
  </si>
  <si>
    <t>SISTEMAS MOTRIZES - SISTEMA PROPOSTO - EX POST</t>
  </si>
  <si>
    <r>
      <t>pup</t>
    </r>
    <r>
      <rPr>
        <i/>
        <vertAlign val="subscript"/>
        <sz val="11"/>
        <color indexed="8"/>
        <rFont val="Calibri"/>
        <family val="2"/>
      </rPr>
      <t>i</t>
    </r>
  </si>
  <si>
    <r>
      <t>edp</t>
    </r>
    <r>
      <rPr>
        <i/>
        <vertAlign val="subscript"/>
        <sz val="11"/>
        <color indexed="8"/>
        <rFont val="Calibri"/>
        <family val="2"/>
      </rPr>
      <t>i</t>
    </r>
  </si>
  <si>
    <r>
      <t>eip</t>
    </r>
    <r>
      <rPr>
        <i/>
        <vertAlign val="subscript"/>
        <sz val="11"/>
        <color indexed="8"/>
        <rFont val="Calibri"/>
        <family val="2"/>
      </rPr>
      <t>i</t>
    </r>
  </si>
  <si>
    <r>
      <t>Eup</t>
    </r>
    <r>
      <rPr>
        <i/>
        <vertAlign val="subscript"/>
        <sz val="11"/>
        <color indexed="8"/>
        <rFont val="Calibri"/>
        <family val="2"/>
      </rPr>
      <t>i</t>
    </r>
  </si>
  <si>
    <t>SISTEMAS MOTRIZES - RESULTADOS REALIZADOS - EX POST</t>
  </si>
  <si>
    <t>Benefício anualizado sistemas motrizes - Ex post</t>
  </si>
  <si>
    <t>Sub total - Materiais e equipamentos aquecimento solar de água</t>
  </si>
  <si>
    <t>Custo anualizado total aquecimento solar de água - Ex ante</t>
  </si>
  <si>
    <r>
      <t>CA</t>
    </r>
    <r>
      <rPr>
        <b/>
        <vertAlign val="subscript"/>
        <sz val="11"/>
        <color indexed="9"/>
        <rFont val="Calibri"/>
        <family val="2"/>
      </rPr>
      <t>T_SOLAR</t>
    </r>
  </si>
  <si>
    <r>
      <t>RCB</t>
    </r>
    <r>
      <rPr>
        <vertAlign val="subscript"/>
        <sz val="11"/>
        <color indexed="8"/>
        <rFont val="Calibri"/>
        <family val="2"/>
      </rPr>
      <t>SOLAR_PEE</t>
    </r>
  </si>
  <si>
    <r>
      <t>RCB</t>
    </r>
    <r>
      <rPr>
        <vertAlign val="subscript"/>
        <sz val="11"/>
        <color indexed="8"/>
        <rFont val="Calibri"/>
        <family val="2"/>
      </rPr>
      <t>SOLAR_TOTAL</t>
    </r>
  </si>
  <si>
    <t>DADOS DE CUSTO DO SISTEMA DE AQUECIMENTO SOLAR DE ÁGUA - EX ANTE</t>
  </si>
  <si>
    <t>Custo médio da instalação solar de área coletora</t>
  </si>
  <si>
    <t>R$/m²</t>
  </si>
  <si>
    <t>Custo total das instalações</t>
  </si>
  <si>
    <t>Custo coberto pelo Programa de Eficiência Energética</t>
  </si>
  <si>
    <t>Sub total - Mão de obra de terceiros aquecimento solar de água</t>
  </si>
  <si>
    <t>Área total de coletores a ser instalada no projeto</t>
  </si>
  <si>
    <t>m²</t>
  </si>
  <si>
    <t>Sub total - Custos diretos aquecimento solar de água</t>
  </si>
  <si>
    <t>Sub total - Custos indiretos aquecimento solar de água</t>
  </si>
  <si>
    <t>Sub total - Custos aquecimento solar de água - Ex ante</t>
  </si>
  <si>
    <t>Custo anualizado total aquecimento solar de água - Ex post</t>
  </si>
  <si>
    <t>DADOS DE CUSTO DO SISTEMA DE AQUECIMENTO SOLAR DE ÁGUA - EX POST</t>
  </si>
  <si>
    <t>Sub total - Mão de obra aquecimento solar de água</t>
  </si>
  <si>
    <t>Sub total - Transporte e outros custos diretos aquecimento solar de água</t>
  </si>
  <si>
    <t>Treiamento e capacitação</t>
  </si>
  <si>
    <t>Sub total - Custos aquecimento solar de água - Ex post</t>
  </si>
  <si>
    <t>DADOS DO COLETOR - EX ANTE</t>
  </si>
  <si>
    <t>DADOS DO PROJETO - EX ANTE</t>
  </si>
  <si>
    <t>QTD</t>
  </si>
  <si>
    <t>Fabricante coletor solar</t>
  </si>
  <si>
    <t>Número de unidades consumidoras atendidas</t>
  </si>
  <si>
    <t>NR</t>
  </si>
  <si>
    <t>Marca e modelo do coletor solar</t>
  </si>
  <si>
    <t>Número médio de chuveiros por UC</t>
  </si>
  <si>
    <t>NC</t>
  </si>
  <si>
    <t>Área externa</t>
  </si>
  <si>
    <r>
      <t>m</t>
    </r>
    <r>
      <rPr>
        <vertAlign val="superscript"/>
        <sz val="11"/>
        <rFont val="Calibri"/>
        <family val="2"/>
      </rPr>
      <t>2</t>
    </r>
  </si>
  <si>
    <r>
      <t>A</t>
    </r>
    <r>
      <rPr>
        <i/>
        <vertAlign val="subscript"/>
        <sz val="11"/>
        <rFont val="Calibri"/>
        <family val="2"/>
      </rPr>
      <t>EXT</t>
    </r>
  </si>
  <si>
    <t>Potência máxima típica dos chuveiros utilizados</t>
  </si>
  <si>
    <t>PC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</si>
  <si>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</si>
  <si>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</si>
  <si>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</si>
  <si>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</rPr>
      <t>AUX</t>
    </r>
  </si>
  <si>
    <t>Eficiência energética</t>
  </si>
  <si>
    <t>EF</t>
  </si>
  <si>
    <t>FCP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</si>
  <si>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</si>
  <si>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</rPr>
      <t>2</t>
    </r>
    <r>
      <rPr>
        <sz val="11"/>
        <color indexed="8"/>
        <rFont val="Calibri"/>
        <family val="2"/>
      </rPr>
      <t>×</t>
    </r>
    <r>
      <rPr>
        <sz val="11"/>
        <color theme="1"/>
        <rFont val="Calibri"/>
        <family val="2"/>
        <scheme val="minor"/>
      </rPr>
      <t>mês</t>
    </r>
  </si>
  <si>
    <t>PAC</t>
  </si>
  <si>
    <t>Fração solar</t>
  </si>
  <si>
    <t>FS</t>
  </si>
  <si>
    <t>Área coletora por unidade consumidora</t>
  </si>
  <si>
    <t>AC</t>
  </si>
  <si>
    <t>Número médio de banhos por UC por dia</t>
  </si>
  <si>
    <t>NB</t>
  </si>
  <si>
    <t>Número de coletores solares</t>
  </si>
  <si>
    <r>
      <t>N</t>
    </r>
    <r>
      <rPr>
        <i/>
        <vertAlign val="subscript"/>
        <sz val="11"/>
        <rFont val="Calibri"/>
        <family val="2"/>
      </rPr>
      <t>COL</t>
    </r>
  </si>
  <si>
    <t>Tempo médio de banho</t>
  </si>
  <si>
    <t>min</t>
  </si>
  <si>
    <t>T</t>
  </si>
  <si>
    <t>DADOS DO RESERVATÓRIO - EX ANTE</t>
  </si>
  <si>
    <t>Vazão típica do chuveiro</t>
  </si>
  <si>
    <t>L/min</t>
  </si>
  <si>
    <t>V</t>
  </si>
  <si>
    <t>Fabricante do reservatório térmico</t>
  </si>
  <si>
    <t>Cidade de referência</t>
  </si>
  <si>
    <t>Modelo do reservatório térmico</t>
  </si>
  <si>
    <t>Volume do reservatório térmico</t>
  </si>
  <si>
    <t>L</t>
  </si>
  <si>
    <t>VR</t>
  </si>
  <si>
    <t>FATOR DE COINCIDÊNCIA NA PONTA - EX ANTE</t>
  </si>
  <si>
    <t>Perda específica energética mensal</t>
  </si>
  <si>
    <t>kWh/mês/L</t>
  </si>
  <si>
    <t>PEM</t>
  </si>
  <si>
    <t>Número médio de banhos na ponta</t>
  </si>
  <si>
    <t>nbp</t>
  </si>
  <si>
    <t>Volume de água quente consumida</t>
  </si>
  <si>
    <r>
      <t>V</t>
    </r>
    <r>
      <rPr>
        <i/>
        <vertAlign val="subscript"/>
        <sz val="11"/>
        <rFont val="Calibri"/>
        <family val="2"/>
      </rPr>
      <t>QUE</t>
    </r>
  </si>
  <si>
    <t>tb</t>
  </si>
  <si>
    <t>Número mínimo de reservatórios com apoio elétrico</t>
  </si>
  <si>
    <r>
      <t>NR</t>
    </r>
    <r>
      <rPr>
        <i/>
        <vertAlign val="subscript"/>
        <sz val="11"/>
        <rFont val="Calibri"/>
        <family val="2"/>
      </rPr>
      <t>ELE</t>
    </r>
  </si>
  <si>
    <t>Número de chuveiros por unidade consumidora</t>
  </si>
  <si>
    <t>nc</t>
  </si>
  <si>
    <t>AQUECIMENTO SOLAR DE ÁGUA - RESULTADOS ESPERADOS - EX ANTE</t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</si>
  <si>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</si>
  <si>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</si>
  <si>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</si>
  <si>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</si>
  <si>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</si>
  <si>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</si>
  <si>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</si>
  <si>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</si>
  <si>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t>Benefício anualizado aquecimento solar de água - Ex ante</t>
  </si>
  <si>
    <r>
      <t>B</t>
    </r>
    <r>
      <rPr>
        <b/>
        <i/>
        <vertAlign val="subscript"/>
        <sz val="11"/>
        <color indexed="9"/>
        <rFont val="Calibri"/>
        <family val="2"/>
      </rPr>
      <t>SOLAR</t>
    </r>
  </si>
  <si>
    <t>1.350 - 1.450</t>
  </si>
  <si>
    <t>Deve ser igual ao NR</t>
  </si>
  <si>
    <t>Benefício anualizado aquecimento solar de água - EE</t>
  </si>
  <si>
    <r>
      <t>B</t>
    </r>
    <r>
      <rPr>
        <b/>
        <i/>
        <vertAlign val="subscript"/>
        <sz val="11"/>
        <color indexed="9"/>
        <rFont val="Calibri"/>
        <family val="2"/>
      </rPr>
      <t>SOLAR_EE</t>
    </r>
  </si>
  <si>
    <t>Benefício anualizado aquecimento solar de água - RDP</t>
  </si>
  <si>
    <r>
      <t>B</t>
    </r>
    <r>
      <rPr>
        <b/>
        <i/>
        <vertAlign val="subscript"/>
        <sz val="11"/>
        <color indexed="9"/>
        <rFont val="Calibri"/>
        <family val="2"/>
      </rPr>
      <t>SOLAR_RDP</t>
    </r>
  </si>
  <si>
    <t>DADOS DO COLETOR - EX POST</t>
  </si>
  <si>
    <t>DADOS DO PROJETO - EX POST</t>
  </si>
  <si>
    <t>DADOS DO RESERVATÓRIO - EX POST</t>
  </si>
  <si>
    <t>FATOR DE COINCIDÊNCIA NA PONTA - EX POST</t>
  </si>
  <si>
    <t>AQUECIMENTO SOLAR DE ÁGUA - RESULTADOS REALIZADOS - EX POST</t>
  </si>
  <si>
    <t>Benefício anualizado aquecimento solar de água - Ex post</t>
  </si>
  <si>
    <t>Sub total - Materiais e equipamentos condicionamento ambiental</t>
  </si>
  <si>
    <t>Custo anualizado total condicionamento ambiental - Ex ante</t>
  </si>
  <si>
    <r>
      <t>CA</t>
    </r>
    <r>
      <rPr>
        <b/>
        <vertAlign val="subscript"/>
        <sz val="11"/>
        <color indexed="9"/>
        <rFont val="Calibri"/>
        <family val="2"/>
      </rPr>
      <t>T_COND</t>
    </r>
  </si>
  <si>
    <r>
      <t>RCB</t>
    </r>
    <r>
      <rPr>
        <vertAlign val="subscript"/>
        <sz val="11"/>
        <color indexed="8"/>
        <rFont val="Calibri"/>
        <family val="2"/>
      </rPr>
      <t>COND_PEE</t>
    </r>
  </si>
  <si>
    <r>
      <t>RCB</t>
    </r>
    <r>
      <rPr>
        <vertAlign val="subscript"/>
        <sz val="11"/>
        <color indexed="8"/>
        <rFont val="Calibri"/>
        <family val="2"/>
      </rPr>
      <t>COND_TOTAL</t>
    </r>
  </si>
  <si>
    <t>Sub total - Mão de obra de terceiros condicionamento ambiental</t>
  </si>
  <si>
    <t>Sub total - Custos diretos condicionamento ambiental</t>
  </si>
  <si>
    <t>Sub total - Custos indiretos condicionamento ambiental</t>
  </si>
  <si>
    <t>Sub total - Custos condicionamento ambiental - Ex ante</t>
  </si>
  <si>
    <t>Custo anualizado total condicionamento ambiental - Ex post</t>
  </si>
  <si>
    <t>Sub total - Mão de obra condicionamento ambiental</t>
  </si>
  <si>
    <t>Sub total - Transporte e outros custos diretos condicionamento ambiental</t>
  </si>
  <si>
    <t>Sub total - Custos condicionamento ambiental - Ex  post</t>
  </si>
  <si>
    <t>CONDICIONAMENTO AMBIENTAL - SISTEMA ATUAL - EX ANTE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</si>
  <si>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</si>
  <si>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</si>
  <si>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</si>
  <si>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</si>
  <si>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</si>
  <si>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</si>
  <si>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</si>
  <si>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</si>
  <si>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</si>
  <si>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</si>
  <si>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</si>
  <si>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</si>
  <si>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</si>
  <si>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</si>
  <si>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</si>
  <si>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</si>
  <si>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</si>
  <si>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</si>
  <si>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</si>
  <si>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</si>
  <si>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</si>
  <si>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</si>
  <si>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</si>
  <si>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</si>
  <si>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</si>
  <si>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</si>
  <si>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</si>
  <si>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</si>
  <si>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</si>
  <si>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</si>
  <si>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</si>
  <si>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</si>
  <si>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</si>
  <si>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</si>
  <si>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</si>
  <si>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</si>
  <si>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</si>
  <si>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</si>
  <si>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</si>
  <si>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</si>
  <si>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</si>
  <si>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</si>
  <si>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</si>
  <si>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</si>
  <si>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</si>
  <si>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</si>
  <si>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</si>
  <si>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</si>
  <si>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</si>
  <si>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</si>
  <si>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cond 51</t>
  </si>
  <si>
    <t>cond 52</t>
  </si>
  <si>
    <t>cond 53</t>
  </si>
  <si>
    <t>cond 54</t>
  </si>
  <si>
    <t>cond 55</t>
  </si>
  <si>
    <t>cond 56</t>
  </si>
  <si>
    <t>cond 57</t>
  </si>
  <si>
    <t>cond 58</t>
  </si>
  <si>
    <t>cond 59</t>
  </si>
  <si>
    <t>cond 60</t>
  </si>
  <si>
    <t>cond 61</t>
  </si>
  <si>
    <t>cond 62</t>
  </si>
  <si>
    <t>cond 63</t>
  </si>
  <si>
    <t>cond 64</t>
  </si>
  <si>
    <t>cond 65</t>
  </si>
  <si>
    <t>cond 66</t>
  </si>
  <si>
    <t>cond 67</t>
  </si>
  <si>
    <t>cond 68</t>
  </si>
  <si>
    <t>cond 69</t>
  </si>
  <si>
    <t>cond 70</t>
  </si>
  <si>
    <t>cond 71</t>
  </si>
  <si>
    <t>cond 72</t>
  </si>
  <si>
    <t>cond 73</t>
  </si>
  <si>
    <t>cond 74</t>
  </si>
  <si>
    <t>cond 75</t>
  </si>
  <si>
    <t>cond 76</t>
  </si>
  <si>
    <t>cond 77</t>
  </si>
  <si>
    <t>cond 78</t>
  </si>
  <si>
    <t>cond 79</t>
  </si>
  <si>
    <t>cond 80</t>
  </si>
  <si>
    <t>cond 81</t>
  </si>
  <si>
    <t>cond 82</t>
  </si>
  <si>
    <t>cond 83</t>
  </si>
  <si>
    <t>cond 84</t>
  </si>
  <si>
    <t>cond 85</t>
  </si>
  <si>
    <t>cond 86</t>
  </si>
  <si>
    <t>cond 87</t>
  </si>
  <si>
    <t>cond 88</t>
  </si>
  <si>
    <t>cond 89</t>
  </si>
  <si>
    <t>cond 90</t>
  </si>
  <si>
    <t>cond 91</t>
  </si>
  <si>
    <t>cond 92</t>
  </si>
  <si>
    <t>cond 93</t>
  </si>
  <si>
    <t>cond 94</t>
  </si>
  <si>
    <t>cond 95</t>
  </si>
  <si>
    <t>cond 96</t>
  </si>
  <si>
    <t>cond 97</t>
  </si>
  <si>
    <t>cond 98</t>
  </si>
  <si>
    <t>cond 99</t>
  </si>
  <si>
    <t>cond 100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</si>
  <si>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</si>
  <si>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</si>
  <si>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</si>
  <si>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</si>
  <si>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indexed="8"/>
        <rFont val="Calibri"/>
        <family val="2"/>
      </rPr>
      <t>i</t>
    </r>
  </si>
  <si>
    <t>CONDICIONAMENTO AMBIENTAL - SISTEMA PROPOSTO - EX ANTE</t>
  </si>
  <si>
    <r>
      <t>cp</t>
    </r>
    <r>
      <rPr>
        <i/>
        <vertAlign val="subscript"/>
        <sz val="11"/>
        <color indexed="8"/>
        <rFont val="Calibri"/>
        <family val="2"/>
      </rPr>
      <t>i</t>
    </r>
  </si>
  <si>
    <r>
      <t>fup</t>
    </r>
    <r>
      <rPr>
        <i/>
        <vertAlign val="subscript"/>
        <sz val="11"/>
        <color indexed="8"/>
        <rFont val="Calibri"/>
        <family val="2"/>
      </rPr>
      <t>i</t>
    </r>
  </si>
  <si>
    <t>CONDICIONAMENTO AMBIENTAL - RESULTADOS ESPERADOS - EX ANTE</t>
  </si>
  <si>
    <t>Benefício anualizado condicionamento ambiental - Ex ante</t>
  </si>
  <si>
    <r>
      <t>B</t>
    </r>
    <r>
      <rPr>
        <b/>
        <i/>
        <vertAlign val="subscript"/>
        <sz val="11"/>
        <color indexed="9"/>
        <rFont val="Calibri"/>
        <family val="2"/>
      </rPr>
      <t>COND</t>
    </r>
  </si>
  <si>
    <t>Benefício anualizado condicionamento ambiental - EE</t>
  </si>
  <si>
    <r>
      <t>B</t>
    </r>
    <r>
      <rPr>
        <b/>
        <i/>
        <vertAlign val="subscript"/>
        <sz val="11"/>
        <color indexed="9"/>
        <rFont val="Calibri"/>
        <family val="2"/>
      </rPr>
      <t>COND_EE</t>
    </r>
  </si>
  <si>
    <t>Benefício anualizado condicionamento ambiental - RDP</t>
  </si>
  <si>
    <r>
      <t>B</t>
    </r>
    <r>
      <rPr>
        <b/>
        <i/>
        <vertAlign val="subscript"/>
        <sz val="11"/>
        <color indexed="9"/>
        <rFont val="Calibri"/>
        <family val="2"/>
      </rPr>
      <t>COND_RDP</t>
    </r>
  </si>
  <si>
    <t>CONDICIONAMENTO AMBIENTAL - SISTEMA ATUAL - EX POST</t>
  </si>
  <si>
    <t>CONDICIONAMENTO AMBIENTAL - SISTEMA PROPOSTO - EX POST</t>
  </si>
  <si>
    <t>CONDICIONAMENTO AMBIENTAL - RESULTADOS REALIZADOS - EX POST</t>
  </si>
  <si>
    <t>Benefício anualizado condicionamento ambiental - Ex post</t>
  </si>
  <si>
    <t>Sub total - Materiais e equipamentos sistemas de refrigeração</t>
  </si>
  <si>
    <t>Custo anualizado total sistemas de refrigeração - Ex ante</t>
  </si>
  <si>
    <r>
      <t>CA</t>
    </r>
    <r>
      <rPr>
        <b/>
        <vertAlign val="subscript"/>
        <sz val="11"/>
        <color indexed="9"/>
        <rFont val="Calibri"/>
        <family val="2"/>
      </rPr>
      <t>T_REFRIG</t>
    </r>
  </si>
  <si>
    <r>
      <t>RCB</t>
    </r>
    <r>
      <rPr>
        <vertAlign val="subscript"/>
        <sz val="11"/>
        <color indexed="8"/>
        <rFont val="Calibri"/>
        <family val="2"/>
      </rPr>
      <t>REFRIG_PEE</t>
    </r>
  </si>
  <si>
    <r>
      <t>RCB</t>
    </r>
    <r>
      <rPr>
        <vertAlign val="subscript"/>
        <sz val="11"/>
        <color indexed="8"/>
        <rFont val="Calibri"/>
        <family val="2"/>
      </rPr>
      <t>REFRIG_TOTAL</t>
    </r>
  </si>
  <si>
    <t>Sub total - Mão de obra de terceiros sistemas de refrigeração</t>
  </si>
  <si>
    <t>Sub total - Custos diretos sistemas de refrigeração</t>
  </si>
  <si>
    <t>Sub total - Custos indiretos sistemas de refrigeração</t>
  </si>
  <si>
    <t>Sub total - Custos sistemas de refrigeração - Ex ante</t>
  </si>
  <si>
    <t>Custo anualizado total sistemas de refrigeração - Ex post</t>
  </si>
  <si>
    <t>Sub total - Mão de obra sistemas de refrigeração</t>
  </si>
  <si>
    <t>Sub total - Transporte e outros custos diretos sistemas de refrigeração</t>
  </si>
  <si>
    <t>Sub total - Custos sistemas de refrigeração - Ex post</t>
  </si>
  <si>
    <t>SISTEMAS DE REFRIGERAÇÃO - SISTEMA ATUAL - EX ANTE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</si>
  <si>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</si>
  <si>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</si>
  <si>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</si>
  <si>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</si>
  <si>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</si>
  <si>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</si>
  <si>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</si>
  <si>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</si>
  <si>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</si>
  <si>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</si>
  <si>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</si>
  <si>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</si>
  <si>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</si>
  <si>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</si>
  <si>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</si>
  <si>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</si>
  <si>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</si>
  <si>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</si>
  <si>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</si>
  <si>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</si>
  <si>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refrig 21</t>
  </si>
  <si>
    <t>refrig 22</t>
  </si>
  <si>
    <t>refrig 23</t>
  </si>
  <si>
    <t>refrig 24</t>
  </si>
  <si>
    <t>refrig 25</t>
  </si>
  <si>
    <t>refrig 26</t>
  </si>
  <si>
    <t>refrig 27</t>
  </si>
  <si>
    <t>refrig 28</t>
  </si>
  <si>
    <t>refrig 29</t>
  </si>
  <si>
    <t>refrig 30</t>
  </si>
  <si>
    <t>refrig 31</t>
  </si>
  <si>
    <t>refrig 32</t>
  </si>
  <si>
    <t>refrig 33</t>
  </si>
  <si>
    <t>refrig 34</t>
  </si>
  <si>
    <t>refrig 35</t>
  </si>
  <si>
    <t>refrig 36</t>
  </si>
  <si>
    <t>refrig 37</t>
  </si>
  <si>
    <t>refrig 38</t>
  </si>
  <si>
    <t>refrig 39</t>
  </si>
  <si>
    <t>refrig 40</t>
  </si>
  <si>
    <t>refrig 41</t>
  </si>
  <si>
    <t>refrig 42</t>
  </si>
  <si>
    <t>refrig 43</t>
  </si>
  <si>
    <t>refrig 44</t>
  </si>
  <si>
    <t>refrig 45</t>
  </si>
  <si>
    <t>refrig 46</t>
  </si>
  <si>
    <t>refrig 47</t>
  </si>
  <si>
    <t>refrig 48</t>
  </si>
  <si>
    <t>refrig 49</t>
  </si>
  <si>
    <t>refrig 50</t>
  </si>
  <si>
    <t>refrig 51</t>
  </si>
  <si>
    <t>refrig 52</t>
  </si>
  <si>
    <t>refrig 53</t>
  </si>
  <si>
    <t>refrig 54</t>
  </si>
  <si>
    <t>refrig 55</t>
  </si>
  <si>
    <t>refrig 56</t>
  </si>
  <si>
    <t>refrig 57</t>
  </si>
  <si>
    <t>refrig 58</t>
  </si>
  <si>
    <t>refrig 59</t>
  </si>
  <si>
    <t>refrig 60</t>
  </si>
  <si>
    <t>refrig 61</t>
  </si>
  <si>
    <t>refrig 62</t>
  </si>
  <si>
    <t>refrig 63</t>
  </si>
  <si>
    <t>refrig 64</t>
  </si>
  <si>
    <t>refrig 65</t>
  </si>
  <si>
    <t>refrig 66</t>
  </si>
  <si>
    <t>refrig 67</t>
  </si>
  <si>
    <t>refrig 68</t>
  </si>
  <si>
    <t>refrig 69</t>
  </si>
  <si>
    <t>refrig 70</t>
  </si>
  <si>
    <t>refrig 71</t>
  </si>
  <si>
    <t>refrig 72</t>
  </si>
  <si>
    <t>refrig 73</t>
  </si>
  <si>
    <t>refrig 74</t>
  </si>
  <si>
    <t>refrig 75</t>
  </si>
  <si>
    <t>refrig 76</t>
  </si>
  <si>
    <t>refrig 77</t>
  </si>
  <si>
    <t>refrig 78</t>
  </si>
  <si>
    <t>refrig 79</t>
  </si>
  <si>
    <t>refrig 80</t>
  </si>
  <si>
    <t>refrig 81</t>
  </si>
  <si>
    <t>refrig 82</t>
  </si>
  <si>
    <t>refrig 83</t>
  </si>
  <si>
    <t>refrig 84</t>
  </si>
  <si>
    <t>refrig 85</t>
  </si>
  <si>
    <t>refrig 86</t>
  </si>
  <si>
    <t>refrig 87</t>
  </si>
  <si>
    <t>refrig 88</t>
  </si>
  <si>
    <t>refrig 89</t>
  </si>
  <si>
    <t>refrig 90</t>
  </si>
  <si>
    <t>refrig 91</t>
  </si>
  <si>
    <t>refrig 92</t>
  </si>
  <si>
    <t>refrig 93</t>
  </si>
  <si>
    <t>refrig 94</t>
  </si>
  <si>
    <t>refrig 95</t>
  </si>
  <si>
    <t>refrig 96</t>
  </si>
  <si>
    <t>refrig 97</t>
  </si>
  <si>
    <t>refrig 98</t>
  </si>
  <si>
    <t>refrig 99</t>
  </si>
  <si>
    <t>refrig 100</t>
  </si>
  <si>
    <t>Potência nominal</t>
  </si>
  <si>
    <t>SISTEMAS DE REFRIGERAÇÃO - SISTEMA PROPOSTO - EX ANTE</t>
  </si>
  <si>
    <t>SISTEMAS DE REFRIGERAÇÃO - RESULTADOS ESPERADOS - EX ANTE</t>
  </si>
  <si>
    <t>Benefício anualizado sistemas de refrigeração - Ex ante</t>
  </si>
  <si>
    <r>
      <t>B</t>
    </r>
    <r>
      <rPr>
        <b/>
        <i/>
        <vertAlign val="subscript"/>
        <sz val="11"/>
        <color indexed="9"/>
        <rFont val="Calibri"/>
        <family val="2"/>
      </rPr>
      <t>REFRIG</t>
    </r>
  </si>
  <si>
    <t>Benefício anualizado sistemas de refrigeração - EE</t>
  </si>
  <si>
    <r>
      <t>B</t>
    </r>
    <r>
      <rPr>
        <b/>
        <i/>
        <vertAlign val="subscript"/>
        <sz val="11"/>
        <color indexed="9"/>
        <rFont val="Calibri"/>
        <family val="2"/>
      </rPr>
      <t>REFRIG_EE</t>
    </r>
  </si>
  <si>
    <t>Benefício anualizado sistemas de refrigeração - RDP</t>
  </si>
  <si>
    <r>
      <t>B</t>
    </r>
    <r>
      <rPr>
        <b/>
        <i/>
        <vertAlign val="subscript"/>
        <sz val="11"/>
        <color indexed="9"/>
        <rFont val="Calibri"/>
        <family val="2"/>
      </rPr>
      <t>REFRIG_RDP</t>
    </r>
  </si>
  <si>
    <t>SISTEMAS DE REFRIGERAÇÃO - SISTEMA ATUAL - EX POST</t>
  </si>
  <si>
    <t>SISTEMAS DE REFRIGERAÇÃO - SISTEMA PROPOSTO - EX POST</t>
  </si>
  <si>
    <t>SISTEMAS DE REFRIGERAÇÃO - RESULTADOS REALIZADOS - EX POST</t>
  </si>
  <si>
    <t>Benefício anualizado sistemas de refrigeração - Ex post</t>
  </si>
  <si>
    <t>Sub total - Materiais e equipamentos outros</t>
  </si>
  <si>
    <t>Custo anualizado total outros - Ex ante</t>
  </si>
  <si>
    <r>
      <t>CA</t>
    </r>
    <r>
      <rPr>
        <b/>
        <vertAlign val="subscript"/>
        <sz val="11"/>
        <color indexed="9"/>
        <rFont val="Calibri"/>
        <family val="2"/>
      </rPr>
      <t>T_OUTROS</t>
    </r>
  </si>
  <si>
    <r>
      <t>RCB</t>
    </r>
    <r>
      <rPr>
        <vertAlign val="subscript"/>
        <sz val="11"/>
        <color indexed="8"/>
        <rFont val="Calibri"/>
        <family val="2"/>
      </rPr>
      <t>OUTROS_PEE</t>
    </r>
  </si>
  <si>
    <r>
      <t>RCB</t>
    </r>
    <r>
      <rPr>
        <vertAlign val="subscript"/>
        <sz val="11"/>
        <color indexed="8"/>
        <rFont val="Calibri"/>
        <family val="2"/>
      </rPr>
      <t>OUTROS_TOTAL</t>
    </r>
  </si>
  <si>
    <t>Sub total - Mão de obra de terceiros outros</t>
  </si>
  <si>
    <t>Sub total - Custos diretos outros</t>
  </si>
  <si>
    <t>Sub total - Custos indiretos outros</t>
  </si>
  <si>
    <t>Sub total - Custos outros - Ex ante</t>
  </si>
  <si>
    <t>Custo anualizado total outros - Ex post</t>
  </si>
  <si>
    <t>Sub total - Mão de obra outros</t>
  </si>
  <si>
    <t>Sub total - Transporte e outros custos diretos outros</t>
  </si>
  <si>
    <t>Sub total - Custos outros - Ex post</t>
  </si>
  <si>
    <t>OUTROS - SISTEMA ATUAL - EX ANTE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</si>
  <si>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</si>
  <si>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</si>
  <si>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</si>
  <si>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</si>
  <si>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</si>
  <si>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</si>
  <si>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</si>
  <si>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</si>
  <si>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</si>
  <si>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</si>
  <si>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</si>
  <si>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</si>
  <si>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</si>
  <si>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</si>
  <si>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</si>
  <si>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</si>
  <si>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</si>
  <si>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</si>
  <si>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</si>
  <si>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</si>
  <si>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outros 21</t>
  </si>
  <si>
    <t>outros 22</t>
  </si>
  <si>
    <t>outros 23</t>
  </si>
  <si>
    <t>outros 24</t>
  </si>
  <si>
    <t>outros 25</t>
  </si>
  <si>
    <t>outros 26</t>
  </si>
  <si>
    <t>outros 27</t>
  </si>
  <si>
    <t>outros 28</t>
  </si>
  <si>
    <t>outros 29</t>
  </si>
  <si>
    <t>outros 30</t>
  </si>
  <si>
    <t>outros 31</t>
  </si>
  <si>
    <t>outros 32</t>
  </si>
  <si>
    <t>outros 33</t>
  </si>
  <si>
    <t>outros 34</t>
  </si>
  <si>
    <t>outros 35</t>
  </si>
  <si>
    <t>outros 36</t>
  </si>
  <si>
    <t>outros 37</t>
  </si>
  <si>
    <t>outros 38</t>
  </si>
  <si>
    <t>outros 39</t>
  </si>
  <si>
    <t>outros 40</t>
  </si>
  <si>
    <t>outros 41</t>
  </si>
  <si>
    <t>outros 42</t>
  </si>
  <si>
    <t>outros 43</t>
  </si>
  <si>
    <t>outros 44</t>
  </si>
  <si>
    <t>outros 45</t>
  </si>
  <si>
    <t>outros 46</t>
  </si>
  <si>
    <t>outros 47</t>
  </si>
  <si>
    <t>outros 48</t>
  </si>
  <si>
    <t>outros 49</t>
  </si>
  <si>
    <t>outros 50</t>
  </si>
  <si>
    <t>outros 51</t>
  </si>
  <si>
    <t>outros 52</t>
  </si>
  <si>
    <t>outros 53</t>
  </si>
  <si>
    <t>outros 54</t>
  </si>
  <si>
    <t>outros 55</t>
  </si>
  <si>
    <t>outros 56</t>
  </si>
  <si>
    <t>outros 57</t>
  </si>
  <si>
    <t>outros 58</t>
  </si>
  <si>
    <t>outros 59</t>
  </si>
  <si>
    <t>outros 60</t>
  </si>
  <si>
    <t>outros 61</t>
  </si>
  <si>
    <t>outros 62</t>
  </si>
  <si>
    <t>outros 63</t>
  </si>
  <si>
    <t>outros 64</t>
  </si>
  <si>
    <t>outros 65</t>
  </si>
  <si>
    <t>outros 66</t>
  </si>
  <si>
    <t>outros 67</t>
  </si>
  <si>
    <t>outros 68</t>
  </si>
  <si>
    <t>outros 69</t>
  </si>
  <si>
    <t>outros 70</t>
  </si>
  <si>
    <t>outros 71</t>
  </si>
  <si>
    <t>outros 72</t>
  </si>
  <si>
    <t>outros 73</t>
  </si>
  <si>
    <t>outros 74</t>
  </si>
  <si>
    <t>outros 75</t>
  </si>
  <si>
    <t>outros 76</t>
  </si>
  <si>
    <t>outros 77</t>
  </si>
  <si>
    <t>outros 78</t>
  </si>
  <si>
    <t>outros 79</t>
  </si>
  <si>
    <t>outros 80</t>
  </si>
  <si>
    <t>outros 81</t>
  </si>
  <si>
    <t>outros 82</t>
  </si>
  <si>
    <t>outros 83</t>
  </si>
  <si>
    <t>outros 84</t>
  </si>
  <si>
    <t>outros 85</t>
  </si>
  <si>
    <t>outros 86</t>
  </si>
  <si>
    <t>outros 87</t>
  </si>
  <si>
    <t>outros 88</t>
  </si>
  <si>
    <t>outros 89</t>
  </si>
  <si>
    <t>outros 90</t>
  </si>
  <si>
    <t>outros 91</t>
  </si>
  <si>
    <t>outros 92</t>
  </si>
  <si>
    <t>outros 93</t>
  </si>
  <si>
    <t>outros 94</t>
  </si>
  <si>
    <t>outros 95</t>
  </si>
  <si>
    <t>outros 96</t>
  </si>
  <si>
    <t>outros 97</t>
  </si>
  <si>
    <t>outros 98</t>
  </si>
  <si>
    <t>outros 99</t>
  </si>
  <si>
    <t>outros 100</t>
  </si>
  <si>
    <t>Potência nominal do equipamento</t>
  </si>
  <si>
    <t>OUTROS - SISTEMA PROPOSTO - EX ANTE</t>
  </si>
  <si>
    <t>OUTROS - RESULTADOS ESPERADOS - EX ANTE</t>
  </si>
  <si>
    <t>Benefício anualizado outros - Ex ante</t>
  </si>
  <si>
    <r>
      <t>B</t>
    </r>
    <r>
      <rPr>
        <b/>
        <i/>
        <vertAlign val="subscript"/>
        <sz val="11"/>
        <color indexed="9"/>
        <rFont val="Calibri"/>
        <family val="2"/>
      </rPr>
      <t>OUTROS</t>
    </r>
  </si>
  <si>
    <t>Benefício anualizado outros - EE</t>
  </si>
  <si>
    <r>
      <t>B</t>
    </r>
    <r>
      <rPr>
        <b/>
        <i/>
        <vertAlign val="subscript"/>
        <sz val="11"/>
        <color indexed="9"/>
        <rFont val="Calibri"/>
        <family val="2"/>
      </rPr>
      <t>OUTROS_EE</t>
    </r>
  </si>
  <si>
    <t>Benefício anualizado outros - RDP</t>
  </si>
  <si>
    <r>
      <t>B</t>
    </r>
    <r>
      <rPr>
        <b/>
        <i/>
        <vertAlign val="subscript"/>
        <sz val="11"/>
        <color indexed="9"/>
        <rFont val="Calibri"/>
        <family val="2"/>
      </rPr>
      <t>OUTROS_RDP</t>
    </r>
  </si>
  <si>
    <t>OUTROS - SISTEMA ATUAL - EX POST</t>
  </si>
  <si>
    <t>OUTROS - SISTEMA PROPOSTO - EX POST</t>
  </si>
  <si>
    <t>OUTROS - RESULTADOS REALIZADOS - EX POST</t>
  </si>
  <si>
    <t>Benefício anualizado outros - Ex post</t>
  </si>
  <si>
    <t>Importante ler as informações dispostas abaixo deste  cronograma.</t>
  </si>
  <si>
    <t>ATIVIDADES</t>
  </si>
  <si>
    <t>CRONOGRAMA FINANCEIRO</t>
  </si>
  <si>
    <t>Total de custos
do projeto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</si>
  <si>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</si>
  <si>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</si>
  <si>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</si>
  <si>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</si>
  <si>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</si>
  <si>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</si>
  <si>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</si>
  <si>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</si>
  <si>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</si>
  <si>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9 meses</t>
  </si>
  <si>
    <t>Mês 20</t>
  </si>
  <si>
    <t>Mês 21</t>
  </si>
  <si>
    <t>PEE Custo de Diagnóstico</t>
  </si>
  <si>
    <t>PEE Custo de Material</t>
  </si>
  <si>
    <t>2.a)</t>
  </si>
  <si>
    <t>2.b)</t>
  </si>
  <si>
    <t>Sistemas Fotovoltaicos</t>
  </si>
  <si>
    <t>2.c)</t>
  </si>
  <si>
    <t>Sistemas Motrizes</t>
  </si>
  <si>
    <t>2.d)</t>
  </si>
  <si>
    <t>Solar Térmico</t>
  </si>
  <si>
    <t>2.e)</t>
  </si>
  <si>
    <t>Condicionamento de ar</t>
  </si>
  <si>
    <t>Refrigeração</t>
  </si>
  <si>
    <t>2.g)</t>
  </si>
  <si>
    <t>PEE Custo Serviço de implementação</t>
  </si>
  <si>
    <t>3.a)</t>
  </si>
  <si>
    <t>3.b)</t>
  </si>
  <si>
    <t>3.c)</t>
  </si>
  <si>
    <t>3.d)</t>
  </si>
  <si>
    <t>3.e)</t>
  </si>
  <si>
    <t>3.g)</t>
  </si>
  <si>
    <t>PEE Custo de descarte</t>
  </si>
  <si>
    <t>PEE Custo de Treinamento</t>
  </si>
  <si>
    <t>PEE Outros Custos Indiretos</t>
  </si>
  <si>
    <t>PEE Custo dos Relatórios Final e de M&amp;V (Demais usos)</t>
  </si>
  <si>
    <t>PEE Custo dos Relatórios Final e de M&amp;V (Solar FV)</t>
  </si>
  <si>
    <t>Total mensal de custos do projeto</t>
  </si>
  <si>
    <t>Implementação</t>
  </si>
  <si>
    <t>Medição Solar FV</t>
  </si>
  <si>
    <r>
      <rPr>
        <b/>
        <sz val="14"/>
        <color indexed="8"/>
        <rFont val="Calibri"/>
        <family val="2"/>
      </rPr>
      <t>Nota 1:</t>
    </r>
    <r>
      <rPr>
        <sz val="14"/>
        <color indexed="8"/>
        <rFont val="Calibri"/>
        <family val="2"/>
      </rPr>
      <t xml:space="preserve"> Os repasses poderão ser adiantados, caso as etapas sejam concluídas antes do prazo máximo definido, desde que respeitadas as diretrizes do Edital da Chamada Pública de Projetos de 2024.</t>
    </r>
  </si>
  <si>
    <r>
      <rPr>
        <b/>
        <sz val="14"/>
        <color indexed="8"/>
        <rFont val="Calibri"/>
        <family val="2"/>
      </rPr>
      <t>Nota 2</t>
    </r>
    <r>
      <rPr>
        <sz val="14"/>
        <color indexed="8"/>
        <rFont val="Calibri"/>
        <family val="2"/>
      </rPr>
      <t xml:space="preserve">: O repasse do material será feito após a entrega com aceite pela CPFL e, o repasse do serviços será feito em uma única parcela ao final do projeto com aceite pela CPFL. No caso de projetos que contenham mais de uma ação, será considerada a última data para o repasse total. </t>
    </r>
  </si>
  <si>
    <r>
      <rPr>
        <b/>
        <sz val="14"/>
        <color indexed="8"/>
        <rFont val="Calibri"/>
        <family val="2"/>
      </rPr>
      <t>Nota 3:</t>
    </r>
    <r>
      <rPr>
        <sz val="14"/>
        <color indexed="8"/>
        <rFont val="Calibri"/>
        <family val="2"/>
      </rPr>
      <t xml:space="preserve"> Conforme cronograma físico a entrega de todos os materiais deverá ser feita em até 120 dias.</t>
    </r>
  </si>
  <si>
    <r>
      <rPr>
        <b/>
        <sz val="14"/>
        <color indexed="8"/>
        <rFont val="Calibri"/>
        <family val="2"/>
      </rPr>
      <t>Nota 4:</t>
    </r>
    <r>
      <rPr>
        <sz val="14"/>
        <color indexed="8"/>
        <rFont val="Calibri"/>
        <family val="2"/>
      </rPr>
      <t xml:space="preserve"> Será de responsabilidade do proponente verificar se todos os custos previstos para o PEE estão contemplados no Cronograma Financeiro.</t>
    </r>
  </si>
  <si>
    <t>Aplicabilidade:</t>
  </si>
  <si>
    <t>ANEXO G - Contrato de Desempenho</t>
  </si>
  <si>
    <t>ANEXO I - Termo de Cooperação Técnica com Repasse</t>
  </si>
  <si>
    <t>Copiar e colar nos Termos e Anexos como Imagem, conforme aplicabilidade</t>
  </si>
  <si>
    <t>ANEXO K - Termo de Cooperação Técnica com Repasse e Interveniente Adm.</t>
  </si>
  <si>
    <t>VALORES (R$)</t>
  </si>
  <si>
    <t>ETAPAS</t>
  </si>
  <si>
    <t>CONTRAPARTIDA CLIENTE</t>
  </si>
  <si>
    <t>CPFL</t>
  </si>
  <si>
    <t>REPASSE CLIENTE</t>
  </si>
  <si>
    <t>CUSTOS INTERNOS</t>
  </si>
  <si>
    <t>Não aplicável</t>
  </si>
  <si>
    <t>Auditoria</t>
  </si>
  <si>
    <t>TOTAL GLOBAL</t>
  </si>
  <si>
    <t>08. ANEXO J - Termo de Cooperação sem Repasse</t>
  </si>
  <si>
    <t>Atualizada em 13/09/2024</t>
  </si>
  <si>
    <t>PIS CONFIS</t>
  </si>
  <si>
    <t>(kWh/mês)/kWp</t>
  </si>
  <si>
    <t>atualizado em 19/11/2024</t>
  </si>
  <si>
    <t>1 - Unidade consumidora:</t>
  </si>
  <si>
    <t>2 - Unidade consumidora:</t>
  </si>
  <si>
    <t>3 - Unidade consumidora:</t>
  </si>
  <si>
    <t>4 - Unidade consumidora:</t>
  </si>
  <si>
    <t>5 - Unidade consumidora:</t>
  </si>
  <si>
    <t>6 - Unidade consumidora:</t>
  </si>
  <si>
    <t>7 - Unidade consumidora:</t>
  </si>
  <si>
    <t>8 - Unidade consumidora:</t>
  </si>
  <si>
    <t>9 - Unidade consumidora:</t>
  </si>
  <si>
    <t>11 - Unidade consumidora:</t>
  </si>
  <si>
    <t>10 - Unidade consumidora:</t>
  </si>
  <si>
    <t>12 - Unidade consumidora:</t>
  </si>
  <si>
    <t>14 - Unidade consumidora:</t>
  </si>
  <si>
    <t>15 - Unidade consumidora:</t>
  </si>
  <si>
    <t>16 - Unidade consumidora:</t>
  </si>
  <si>
    <t>17 - Unidade consumidora:</t>
  </si>
  <si>
    <t>18 - Unidade consumidora:</t>
  </si>
  <si>
    <t>19 - Unidade consumidora:</t>
  </si>
  <si>
    <t>20 - Unidade consumidora:</t>
  </si>
  <si>
    <t>Custo anualizado total equipamentos fotovoltaicos - Ex ante</t>
  </si>
  <si>
    <t>Sim</t>
  </si>
  <si>
    <t>Não</t>
  </si>
  <si>
    <t>Subgrupo tarifário:</t>
  </si>
  <si>
    <t>Consumo [KWh]</t>
  </si>
  <si>
    <t>Demanda [kW]</t>
  </si>
  <si>
    <t>Demanda Ponta [a]</t>
  </si>
  <si>
    <t>Demanda Fora Ponta [b]</t>
  </si>
  <si>
    <t>Demanda total (kW/mês)</t>
  </si>
  <si>
    <t>13 - Unidade consumidora:</t>
  </si>
  <si>
    <t>Potência disponivel</t>
  </si>
  <si>
    <t>Demanda disponivel</t>
  </si>
  <si>
    <t>Fator de demanda &lt; =100% (Demanda disponivel + FV já instalado)</t>
  </si>
  <si>
    <t>Serviço</t>
  </si>
  <si>
    <t>Material</t>
  </si>
  <si>
    <t>Fontes Incentivadas</t>
  </si>
  <si>
    <t>Condicionamento Ambiental</t>
  </si>
  <si>
    <t>Sistema Motriz</t>
  </si>
  <si>
    <t>Aquecimento Solar</t>
  </si>
  <si>
    <t>CUSTO TOTAL DO PROJETO</t>
  </si>
  <si>
    <t>Descrição</t>
  </si>
  <si>
    <t>Limitador</t>
  </si>
  <si>
    <t>Projeto</t>
  </si>
  <si>
    <t>Custo por uso final PEE - 
Exceto custos internos</t>
  </si>
  <si>
    <t>Materiais Fontes Incentivadas</t>
  </si>
  <si>
    <t>Energia gerada/ Potência instalada</t>
  </si>
  <si>
    <t>Consumo de energia atual</t>
  </si>
  <si>
    <t>Economia de energia prevista</t>
  </si>
  <si>
    <t>Produção de energia prevista</t>
  </si>
  <si>
    <t>Potência total de Inversor</t>
  </si>
  <si>
    <t>Oversizing  inversor</t>
  </si>
  <si>
    <t>Sugestão de Pg</t>
  </si>
  <si>
    <t>Carregamento = ([16]/([14]-[15]))</t>
  </si>
  <si>
    <t>Classe da UC:</t>
  </si>
  <si>
    <t>Residencial</t>
  </si>
  <si>
    <t>Comercial</t>
  </si>
  <si>
    <t xml:space="preserve">Rural </t>
  </si>
  <si>
    <t>Industrial</t>
  </si>
  <si>
    <t>Serv. Púb</t>
  </si>
  <si>
    <t>Consumo anual total</t>
  </si>
  <si>
    <t>Consumo anual médio</t>
  </si>
  <si>
    <t>Classe</t>
  </si>
  <si>
    <t>Consumo anual total FORA PONTA</t>
  </si>
  <si>
    <t>Consumo anual médio FORA PONTA</t>
  </si>
  <si>
    <t>Consumo médio kWh - Fora Ponta</t>
  </si>
  <si>
    <t>Consumo energético anual - TOTAL</t>
  </si>
  <si>
    <t>IDENTIFICAÇÃO DA UNIDADE CONSUMIDORA PRINCIPAL</t>
  </si>
  <si>
    <t>BESS - SISTEMA PROPOSTO - EX ANTE</t>
  </si>
  <si>
    <t>BESS 1</t>
  </si>
  <si>
    <t>BESS 2</t>
  </si>
  <si>
    <t>BESS 3</t>
  </si>
  <si>
    <t>BESS 4</t>
  </si>
  <si>
    <t>BESS 5</t>
  </si>
  <si>
    <t>BESS 6</t>
  </si>
  <si>
    <t>BESS 7</t>
  </si>
  <si>
    <t>BESS 8</t>
  </si>
  <si>
    <t>BESS 9</t>
  </si>
  <si>
    <t>BESS 10</t>
  </si>
  <si>
    <t>BESS 11</t>
  </si>
  <si>
    <t>BESS 12</t>
  </si>
  <si>
    <t>BESS 13</t>
  </si>
  <si>
    <t>BESS 14</t>
  </si>
  <si>
    <t>BESS 15</t>
  </si>
  <si>
    <t>BESS 16</t>
  </si>
  <si>
    <t>BESS 17</t>
  </si>
  <si>
    <t>BESS 18</t>
  </si>
  <si>
    <t>BESS 19</t>
  </si>
  <si>
    <t>BESS 20</t>
  </si>
  <si>
    <t>BESS</t>
  </si>
  <si>
    <t>Aplicação</t>
  </si>
  <si>
    <t>Potência real</t>
  </si>
  <si>
    <t xml:space="preserve">Sistema auxiliar </t>
  </si>
  <si>
    <t xml:space="preserve">Potência total instalada </t>
  </si>
  <si>
    <t>Energia economizada - Custo da energia evitada (CEE)</t>
  </si>
  <si>
    <t>Redução de demanda na ponta - Custo evitado de demanda (CED)</t>
  </si>
  <si>
    <t>Benefício anualizado BESS - Ex ante</t>
  </si>
  <si>
    <t>Benefício anualizado BESS - EE</t>
  </si>
  <si>
    <t xml:space="preserve">Benefício anualizado BESS - RDP </t>
  </si>
  <si>
    <t>BESS - RESULTADOS ESPERADOS - EX ANTE</t>
  </si>
  <si>
    <r>
      <t>B</t>
    </r>
    <r>
      <rPr>
        <b/>
        <i/>
        <vertAlign val="subscript"/>
        <sz val="11"/>
        <color indexed="9"/>
        <rFont val="Calibri"/>
        <family val="2"/>
      </rPr>
      <t>BESS</t>
    </r>
  </si>
  <si>
    <r>
      <t>B</t>
    </r>
    <r>
      <rPr>
        <b/>
        <i/>
        <vertAlign val="subscript"/>
        <sz val="11"/>
        <color indexed="9"/>
        <rFont val="Calibri"/>
        <family val="2"/>
      </rPr>
      <t>BESS_EE</t>
    </r>
  </si>
  <si>
    <r>
      <t>B</t>
    </r>
    <r>
      <rPr>
        <b/>
        <i/>
        <vertAlign val="subscript"/>
        <sz val="11"/>
        <color indexed="9"/>
        <rFont val="Calibri"/>
        <family val="2"/>
      </rPr>
      <t>BESS_RDP</t>
    </r>
  </si>
  <si>
    <t>BESS - EX ANTE</t>
  </si>
  <si>
    <t>Sub total - Custos diretos BESS</t>
  </si>
  <si>
    <t>Sub total - Custos BESS - Ex ante</t>
  </si>
  <si>
    <r>
      <t>RCB</t>
    </r>
    <r>
      <rPr>
        <vertAlign val="subscript"/>
        <sz val="11"/>
        <color indexed="8"/>
        <rFont val="Calibri"/>
        <family val="2"/>
      </rPr>
      <t>BESS_PEE</t>
    </r>
  </si>
  <si>
    <r>
      <t>RCB</t>
    </r>
    <r>
      <rPr>
        <vertAlign val="subscript"/>
        <sz val="11"/>
        <color indexed="8"/>
        <rFont val="Calibri"/>
        <family val="2"/>
      </rPr>
      <t>BESS_TOTAL</t>
    </r>
  </si>
  <si>
    <t>Custo anualizado total BESS - Ex ante</t>
  </si>
  <si>
    <r>
      <t>CA</t>
    </r>
    <r>
      <rPr>
        <b/>
        <vertAlign val="subscript"/>
        <sz val="11"/>
        <color indexed="9"/>
        <rFont val="Calibri"/>
        <family val="2"/>
      </rPr>
      <t>T_</t>
    </r>
    <r>
      <rPr>
        <b/>
        <sz val="11"/>
        <color theme="0"/>
        <rFont val="Calibri"/>
        <family val="2"/>
        <scheme val="minor"/>
      </rPr>
      <t>BESS</t>
    </r>
  </si>
  <si>
    <t>Sub total - Materiais e equipamentos BESS</t>
  </si>
  <si>
    <t>Relatório de M&amp;V - BESS</t>
  </si>
  <si>
    <t>Sub total - Custos medição e verificação BESS - Período pós-retrofit</t>
  </si>
  <si>
    <t>Sub total - Custos medição e verificação BESS</t>
  </si>
  <si>
    <t>Potência aplicada na ponta</t>
  </si>
  <si>
    <t>Estimativa de população atendida</t>
  </si>
  <si>
    <r>
      <t>RCB</t>
    </r>
    <r>
      <rPr>
        <b/>
        <sz val="10"/>
        <color theme="1"/>
        <rFont val="Calibri"/>
        <family val="2"/>
        <scheme val="minor"/>
      </rPr>
      <t>EX_ANTE</t>
    </r>
    <r>
      <rPr>
        <b/>
        <sz val="18"/>
        <color theme="1"/>
        <rFont val="Calibri"/>
        <family val="2"/>
        <scheme val="minor"/>
      </rPr>
      <t xml:space="preserve"> = </t>
    </r>
  </si>
  <si>
    <t>Sistema</t>
  </si>
  <si>
    <t>Tarifas</t>
  </si>
  <si>
    <t>MÉDIA</t>
  </si>
  <si>
    <t>Foto - escolha da tarifa</t>
  </si>
  <si>
    <t>Controle de atualização</t>
  </si>
  <si>
    <t>Item</t>
  </si>
  <si>
    <t>TRIBUTAÇÃO</t>
  </si>
  <si>
    <r>
      <t>TUSD</t>
    </r>
    <r>
      <rPr>
        <b/>
        <sz val="8"/>
        <color theme="1"/>
        <rFont val="Calibri"/>
        <family val="2"/>
        <scheme val="minor"/>
      </rPr>
      <t>FP</t>
    </r>
    <r>
      <rPr>
        <b/>
        <sz val="11"/>
        <color theme="1"/>
        <rFont val="Calibri"/>
        <family val="2"/>
        <scheme val="minor"/>
      </rPr>
      <t>+TE</t>
    </r>
    <r>
      <rPr>
        <b/>
        <sz val="8"/>
        <color theme="1"/>
        <rFont val="Calibri"/>
        <family val="2"/>
        <scheme val="minor"/>
      </rPr>
      <t>FP</t>
    </r>
  </si>
  <si>
    <t>RS - Alegria</t>
  </si>
  <si>
    <t>CEE E CED CONSIDERADOS</t>
  </si>
  <si>
    <t>RS - Ajuricaba</t>
  </si>
  <si>
    <t>RS - Ametista do Sul</t>
  </si>
  <si>
    <t>RS - Água Santa</t>
  </si>
  <si>
    <t>SP - Altinópolis</t>
  </si>
  <si>
    <t>SP - Altair</t>
  </si>
  <si>
    <t>RS - Alpestre</t>
  </si>
  <si>
    <t>RS - André da Rocha</t>
  </si>
  <si>
    <t>SP - Américo Brasiliense</t>
  </si>
  <si>
    <t>SP - Canitar</t>
  </si>
  <si>
    <t>RS - Aratiba</t>
  </si>
  <si>
    <t>RS - Alto Feliz</t>
  </si>
  <si>
    <t>SP - Itapetininga</t>
  </si>
  <si>
    <t>RS - Alecrim</t>
  </si>
  <si>
    <t>RS - Anta Gorda</t>
  </si>
  <si>
    <t>RS - Antônio Prado</t>
  </si>
  <si>
    <t>RS - Arvorezinha</t>
  </si>
  <si>
    <t>RS - Augusto Pestana</t>
  </si>
  <si>
    <t>RS - Áurea</t>
  </si>
  <si>
    <t>RS - Barão</t>
  </si>
  <si>
    <t>RS - Barra do Guarita</t>
  </si>
  <si>
    <t>RS - Barra do Rio Azul</t>
  </si>
  <si>
    <t>RS - Barra Funda</t>
  </si>
  <si>
    <t>RS - Barracão</t>
  </si>
  <si>
    <t>RS - Barros Cassal</t>
  </si>
  <si>
    <t>RS - Benjamin Constant do Sul</t>
  </si>
  <si>
    <t>RS - Bento Gonçalves</t>
  </si>
  <si>
    <t>RS - Boa Vista das Missões</t>
  </si>
  <si>
    <t>RS - Boa Vista do Buricá</t>
  </si>
  <si>
    <t>RS - Boa Vista do Cadeado</t>
  </si>
  <si>
    <t>RS - Boa Vista do Sul</t>
  </si>
  <si>
    <t>RS - Bom Jesus</t>
  </si>
  <si>
    <t>RS - Bom Progresso</t>
  </si>
  <si>
    <t>RS - Bozano</t>
  </si>
  <si>
    <t>RS - Braga</t>
  </si>
  <si>
    <t>RS - Cachoeirinha</t>
  </si>
  <si>
    <t>RS - Cacique Doble</t>
  </si>
  <si>
    <t>RS - Caiçara</t>
  </si>
  <si>
    <t>RS - Camargo</t>
  </si>
  <si>
    <t>RS - Cambará do Sul</t>
  </si>
  <si>
    <t>RS - Campestre da Serra</t>
  </si>
  <si>
    <t>RS - Campina das Missões</t>
  </si>
  <si>
    <t>RS - Campinas do Sul</t>
  </si>
  <si>
    <t>RS - Campo Novo</t>
  </si>
  <si>
    <t>RS - Cândido Godói</t>
  </si>
  <si>
    <t>RS - Canela</t>
  </si>
  <si>
    <t>RS - Capão Bonito do Sul</t>
  </si>
  <si>
    <t>RS - Carlos Barbosa</t>
  </si>
  <si>
    <t>RS - Carlos Gomes</t>
  </si>
  <si>
    <t>RS - Casca</t>
  </si>
  <si>
    <t>RS - Caseiros</t>
  </si>
  <si>
    <t>RS - Catuípe</t>
  </si>
  <si>
    <t>RS - Caxias do Sul</t>
  </si>
  <si>
    <t>RS - Centenário</t>
  </si>
  <si>
    <t>RS - Cerro Grande</t>
  </si>
  <si>
    <t>RS - Cerro Largo</t>
  </si>
  <si>
    <t>RS - Charrua</t>
  </si>
  <si>
    <t>RS - Chiapetta</t>
  </si>
  <si>
    <t>RS - Ciríaco</t>
  </si>
  <si>
    <t>RS - Constantina</t>
  </si>
  <si>
    <t>RS - Coronel Bicaco</t>
  </si>
  <si>
    <t>RS - Coronel Pilar</t>
  </si>
  <si>
    <t>RS - Cotiporã</t>
  </si>
  <si>
    <t>RS - Coxilha</t>
  </si>
  <si>
    <t>RS - Crissiumal</t>
  </si>
  <si>
    <t>RS - Cristal do Sul</t>
  </si>
  <si>
    <t>RS - Cruz Alta</t>
  </si>
  <si>
    <t>RS - Cruzaltense</t>
  </si>
  <si>
    <t>RS - David Canabarro</t>
  </si>
  <si>
    <t>RS - Derrubadas</t>
  </si>
  <si>
    <t>RS - Dezesseis de Novembro</t>
  </si>
  <si>
    <t>RS - Dois Irmãos das Missões</t>
  </si>
  <si>
    <t>RS - Dois Lajeados</t>
  </si>
  <si>
    <t>RS - Doutor Maurício Cardoso</t>
  </si>
  <si>
    <t>RS - Engenho Velho</t>
  </si>
  <si>
    <t>RS - Entre Rios do Sul</t>
  </si>
  <si>
    <t>RS - Entre-Ijuís</t>
  </si>
  <si>
    <t>RS - Erebango</t>
  </si>
  <si>
    <t>RS - Erechim</t>
  </si>
  <si>
    <t>RS - Ernestina</t>
  </si>
  <si>
    <t>RS - Erval Grande</t>
  </si>
  <si>
    <t>RS - Erval Seco</t>
  </si>
  <si>
    <t>RS - Esmeralda</t>
  </si>
  <si>
    <t>RS - Esperança do Sul</t>
  </si>
  <si>
    <t>RS - Espumoso</t>
  </si>
  <si>
    <t>RS - Estação</t>
  </si>
  <si>
    <t>RS - Estrela Velha</t>
  </si>
  <si>
    <t>RS - Eugênio de Castro</t>
  </si>
  <si>
    <t>RS - Fagundes Varela</t>
  </si>
  <si>
    <t>RS - Farroupilha</t>
  </si>
  <si>
    <t>RS - Faxinalzinho</t>
  </si>
  <si>
    <t>RS - Feliz</t>
  </si>
  <si>
    <t>RS - Flores da Cunha</t>
  </si>
  <si>
    <t>RS - Fortaleza dos Valos</t>
  </si>
  <si>
    <t>RS - Frederico Westphalen</t>
  </si>
  <si>
    <t>RS - Garibaldi</t>
  </si>
  <si>
    <t>RS - Gaurama</t>
  </si>
  <si>
    <t>RS - Gentil</t>
  </si>
  <si>
    <t>RS - Getúlio Vargas</t>
  </si>
  <si>
    <t>RS - Giruá</t>
  </si>
  <si>
    <t>RS - Glorinha</t>
  </si>
  <si>
    <t>RS - Gramado</t>
  </si>
  <si>
    <t>RS - Gramado dos Loureiros</t>
  </si>
  <si>
    <t>RS - Gravataí</t>
  </si>
  <si>
    <t>RS - Guabiju</t>
  </si>
  <si>
    <t>RS - Guaporé</t>
  </si>
  <si>
    <t>RS - Guarani das Missões</t>
  </si>
  <si>
    <t>RS - Horizontina</t>
  </si>
  <si>
    <t>RS - Humaitá</t>
  </si>
  <si>
    <t>RS - Ibiraiaras</t>
  </si>
  <si>
    <t>RS - Ibirapuitã</t>
  </si>
  <si>
    <t>RS - Ibirubá</t>
  </si>
  <si>
    <t>RS - Igrejinha</t>
  </si>
  <si>
    <t>RS - Ijuí</t>
  </si>
  <si>
    <t>RS - Ilópolis</t>
  </si>
  <si>
    <t>RS - Independência</t>
  </si>
  <si>
    <t>RS - Inhacorá</t>
  </si>
  <si>
    <t>RS - Ipê</t>
  </si>
  <si>
    <t>RS - Ipiranga do Sul</t>
  </si>
  <si>
    <t>RS - Iraí</t>
  </si>
  <si>
    <t>RS - Itapuca</t>
  </si>
  <si>
    <t>RS - Itatiba do Sul</t>
  </si>
  <si>
    <t>RS - Jacutinga</t>
  </si>
  <si>
    <t>RS - Jaquirana</t>
  </si>
  <si>
    <t>RS - Jari</t>
  </si>
  <si>
    <t>RS - Jóia</t>
  </si>
  <si>
    <t>RS - Júlio de Castilhos</t>
  </si>
  <si>
    <t>RS - Lagoa dos Três Cantos</t>
  </si>
  <si>
    <t>RS - Lagoa Vermelha</t>
  </si>
  <si>
    <t>RS - Lajeado do Bugre</t>
  </si>
  <si>
    <t>RS - Liberato Salzano</t>
  </si>
  <si>
    <t>RS - Linha Nova</t>
  </si>
  <si>
    <t>RS - Machadinho</t>
  </si>
  <si>
    <t>RS - Marau</t>
  </si>
  <si>
    <t>RS - Marcelino Ramos</t>
  </si>
  <si>
    <t>RS - Mariano Moro</t>
  </si>
  <si>
    <t>RS - Maximiliano de Almeida</t>
  </si>
  <si>
    <t>RS - Miraguaí</t>
  </si>
  <si>
    <t>RS - Montauri</t>
  </si>
  <si>
    <t>RS - Monte Alegre dos Campos</t>
  </si>
  <si>
    <t>RS - Monte Belo do Sul</t>
  </si>
  <si>
    <t>RS - Mormaço</t>
  </si>
  <si>
    <t>RS - Muitos Capões</t>
  </si>
  <si>
    <t>RS - Muliterno</t>
  </si>
  <si>
    <t>RS - Não-Me-Toque</t>
  </si>
  <si>
    <t>RS - Nonoai</t>
  </si>
  <si>
    <t>RS - Nova Alvorada</t>
  </si>
  <si>
    <t>RS - Nova Araçá</t>
  </si>
  <si>
    <t>RS - Nova Bassano</t>
  </si>
  <si>
    <t>RS - Nova Boa Vista</t>
  </si>
  <si>
    <t>RS - Nova Candelária</t>
  </si>
  <si>
    <t>RS - Nova Hartz</t>
  </si>
  <si>
    <t>RS - Nova Pádua</t>
  </si>
  <si>
    <t>RS - Nova Palma</t>
  </si>
  <si>
    <t>RS - Nova Petrópolis</t>
  </si>
  <si>
    <t>RS - Nova Prata</t>
  </si>
  <si>
    <t>RS - Nova Roma do Sul</t>
  </si>
  <si>
    <t>RS - Novo Barreiro</t>
  </si>
  <si>
    <t>RS - Novo Machado</t>
  </si>
  <si>
    <t>RS - Novo Xingu</t>
  </si>
  <si>
    <t>RS - Paim Filho</t>
  </si>
  <si>
    <t>RS - Palmeira das Missões</t>
  </si>
  <si>
    <t>RS - Palmitinho</t>
  </si>
  <si>
    <t>RS - Paraí</t>
  </si>
  <si>
    <t>RS - Parobé</t>
  </si>
  <si>
    <t>RS - Passo Fundo</t>
  </si>
  <si>
    <t>RS - Paulo Bento</t>
  </si>
  <si>
    <t>RS - Pejuçara</t>
  </si>
  <si>
    <t>RS - Picada Café</t>
  </si>
  <si>
    <t>RS - Pinhal da Serra</t>
  </si>
  <si>
    <t>RS - Pinhal Grande</t>
  </si>
  <si>
    <t>RS - Pinheirinho do Vale</t>
  </si>
  <si>
    <t>RS - Pirapó</t>
  </si>
  <si>
    <t>RS - Planalto</t>
  </si>
  <si>
    <t>RS - Ponte Preta</t>
  </si>
  <si>
    <t>RS - Porto Lucena</t>
  </si>
  <si>
    <t>RS - Porto Mauá</t>
  </si>
  <si>
    <t>RS - Porto Vera Cruz</t>
  </si>
  <si>
    <t>RS - Porto Xavier</t>
  </si>
  <si>
    <t>RS - Protásio Alves</t>
  </si>
  <si>
    <t>RS - Putinga</t>
  </si>
  <si>
    <t>RS - Quatro Irmãos</t>
  </si>
  <si>
    <t>RS - Quinze de Novembro</t>
  </si>
  <si>
    <t>RS - Redentora</t>
  </si>
  <si>
    <t>RS - Rio dos Índios</t>
  </si>
  <si>
    <t>RS - Riozinho</t>
  </si>
  <si>
    <t>RS - Rolador</t>
  </si>
  <si>
    <t>RS - Rolante</t>
  </si>
  <si>
    <t>RS - Ronda Alta</t>
  </si>
  <si>
    <t>RS - Rondinha</t>
  </si>
  <si>
    <t>RS - Roque Gonzales</t>
  </si>
  <si>
    <t>RS - Sagrada Família</t>
  </si>
  <si>
    <t>RS - Saldanha Marinho</t>
  </si>
  <si>
    <t>RS - Salto do Jacuí</t>
  </si>
  <si>
    <t>RS - Salvador das Missões</t>
  </si>
  <si>
    <t>RS - Sananduva</t>
  </si>
  <si>
    <t>RS - Santa Bárbara do Sul</t>
  </si>
  <si>
    <t>RS - Santa Rosa</t>
  </si>
  <si>
    <t>RS - Santa Tereza</t>
  </si>
  <si>
    <t>RS - Santo Ângelo</t>
  </si>
  <si>
    <t>RS - Santo Antônio da Patrulha</t>
  </si>
  <si>
    <t>RS - Santo Antônio do Palma</t>
  </si>
  <si>
    <t>RS - Santo Augusto</t>
  </si>
  <si>
    <t>RS - Santo Cristo</t>
  </si>
  <si>
    <t>RS - Santo Expedito do Sul</t>
  </si>
  <si>
    <t>RS - São Domingos do Sul</t>
  </si>
  <si>
    <t>RS - São Francisco de Paula</t>
  </si>
  <si>
    <t>RS - São João da Urtiga</t>
  </si>
  <si>
    <t>RS - São Jorge</t>
  </si>
  <si>
    <t>RS - São José das Missões</t>
  </si>
  <si>
    <t>RS - São José do Inhacorá</t>
  </si>
  <si>
    <t>RS - São José do Ouro</t>
  </si>
  <si>
    <t>RS - São José dos Ausentes</t>
  </si>
  <si>
    <t>RS - São Luiz Gonzaga</t>
  </si>
  <si>
    <t>RS - São Marcos</t>
  </si>
  <si>
    <t>RS - São Martinho</t>
  </si>
  <si>
    <t>RS - São Martinho da Serra</t>
  </si>
  <si>
    <t>RS - São Nicolau</t>
  </si>
  <si>
    <t>RS - São Paulo das Missões</t>
  </si>
  <si>
    <t>RS - São Pedro das Missões</t>
  </si>
  <si>
    <t>RS - São Pedro do Butiá</t>
  </si>
  <si>
    <t>RS - São Valentim</t>
  </si>
  <si>
    <t>RS - São Valentim do Sul</t>
  </si>
  <si>
    <t>RS - São Valério do Sul</t>
  </si>
  <si>
    <t>RS - Sapucaia do Sul</t>
  </si>
  <si>
    <t>RS - Sarandi</t>
  </si>
  <si>
    <t>RS - Seberi</t>
  </si>
  <si>
    <t>RS - Sede Nova</t>
  </si>
  <si>
    <t>RS - Selbach</t>
  </si>
  <si>
    <t>RS - Senador Salgado Filho</t>
  </si>
  <si>
    <t>RS - Serafina Corrêa</t>
  </si>
  <si>
    <t>RS - Sertão</t>
  </si>
  <si>
    <t>RS - Sete de Setembro</t>
  </si>
  <si>
    <t>RS - Severiano de Almeida</t>
  </si>
  <si>
    <t>RS - Soledade</t>
  </si>
  <si>
    <t>RS - Tapejara</t>
  </si>
  <si>
    <t>RS - Tapera</t>
  </si>
  <si>
    <t>RS - Taquara</t>
  </si>
  <si>
    <t>RS - Taquaruçu do Sul</t>
  </si>
  <si>
    <t>RS - Tenente Portela</t>
  </si>
  <si>
    <t>RS - Tio Hugo</t>
  </si>
  <si>
    <t>RS - Tiradentes do Sul</t>
  </si>
  <si>
    <t>RS - Três Arroios</t>
  </si>
  <si>
    <t>RS - Três Coroas</t>
  </si>
  <si>
    <t>RS - Três de Maio</t>
  </si>
  <si>
    <t>RS - Três Palmeiras</t>
  </si>
  <si>
    <t>RS - Três Passos</t>
  </si>
  <si>
    <t>RS - Trindade do Sul</t>
  </si>
  <si>
    <t>RS - Tucunduva</t>
  </si>
  <si>
    <t>RS - Tupanci do Sul</t>
  </si>
  <si>
    <t>RS - Tupanciretã</t>
  </si>
  <si>
    <t>RS - Tuparendi</t>
  </si>
  <si>
    <t>RS - Ubiretama</t>
  </si>
  <si>
    <t>RS - União da Serra</t>
  </si>
  <si>
    <t>RS - Vacaria</t>
  </si>
  <si>
    <t>RS - Vale Real</t>
  </si>
  <si>
    <t>RS - Vanini</t>
  </si>
  <si>
    <t>RS - Veranópolis</t>
  </si>
  <si>
    <t>RS - Viadutos</t>
  </si>
  <si>
    <t>RS - Vicente Dutra</t>
  </si>
  <si>
    <t>RS - Victor Graeff</t>
  </si>
  <si>
    <t>RS - Vila Flores</t>
  </si>
  <si>
    <t>RS - Vila Maria</t>
  </si>
  <si>
    <t>RS - Vista Alegre</t>
  </si>
  <si>
    <t>RS - Vista Alegre do Prata</t>
  </si>
  <si>
    <t>RS - Vista Gaúcha</t>
  </si>
  <si>
    <t>RS - Vitória das Missões</t>
  </si>
  <si>
    <t>RS - Agudo</t>
  </si>
  <si>
    <t>RS - Alegrete</t>
  </si>
  <si>
    <t>RS - Araricá</t>
  </si>
  <si>
    <t>RS - Arroio do Meio</t>
  </si>
  <si>
    <t>RS - Arroio do Tigre</t>
  </si>
  <si>
    <t>RS - Barra do Quaraí</t>
  </si>
  <si>
    <t>RS - Bom Princípio</t>
  </si>
  <si>
    <t>RS - Bom Retiro do Sul</t>
  </si>
  <si>
    <t>RS - Boqueirão do Leão</t>
  </si>
  <si>
    <t>RS - Bossoroca</t>
  </si>
  <si>
    <t>RS - Brochier</t>
  </si>
  <si>
    <t>RS - Caçapava do Sul</t>
  </si>
  <si>
    <t>RS - Cacequi</t>
  </si>
  <si>
    <t>RS - Cachoeira do Sul</t>
  </si>
  <si>
    <t>RS - Campo Bom</t>
  </si>
  <si>
    <t>RS - Candelária</t>
  </si>
  <si>
    <t>RS - Canoas</t>
  </si>
  <si>
    <t>RS - Capão do Cipó</t>
  </si>
  <si>
    <t>RS - Capela de Santana</t>
  </si>
  <si>
    <t>RS - Capitão</t>
  </si>
  <si>
    <t>RS - Cerro Branco</t>
  </si>
  <si>
    <t>RS - Colinas</t>
  </si>
  <si>
    <t>RS - Coqueiro Baixo</t>
  </si>
  <si>
    <t>RS - Cruzeiro do Sul</t>
  </si>
  <si>
    <t>RS - Dilermando de Aguiar</t>
  </si>
  <si>
    <t>RS - Dois Irmãos</t>
  </si>
  <si>
    <t>RS - Doutor Ricardo</t>
  </si>
  <si>
    <t>RS - Encantado</t>
  </si>
  <si>
    <t>RS - Encruzilhada do Sul</t>
  </si>
  <si>
    <t>RS - Estância Velha</t>
  </si>
  <si>
    <t>RS - Esteio</t>
  </si>
  <si>
    <t>RS - Estrela</t>
  </si>
  <si>
    <t>RS - Faxinal do Soturno</t>
  </si>
  <si>
    <t>RS - Fazenda Vilanova</t>
  </si>
  <si>
    <t>RS - Floriano Peixoto</t>
  </si>
  <si>
    <t>RS - Formigueiro</t>
  </si>
  <si>
    <t>RS - Garruchos</t>
  </si>
  <si>
    <t>RS - General Câmara</t>
  </si>
  <si>
    <t>RS - Gramado Xavier</t>
  </si>
  <si>
    <t>RS - Harmonia</t>
  </si>
  <si>
    <t>RS - Herveiras</t>
  </si>
  <si>
    <t>RS - Ibarama</t>
  </si>
  <si>
    <t>RS - Imigrante</t>
  </si>
  <si>
    <t>RS - Itaara</t>
  </si>
  <si>
    <t>RS - Itacurubi</t>
  </si>
  <si>
    <t>RS - Itaqui</t>
  </si>
  <si>
    <t>RS - Ivorá</t>
  </si>
  <si>
    <t>RS - Ivoti</t>
  </si>
  <si>
    <t>RS - Jaguari</t>
  </si>
  <si>
    <t>RS - Lagoa Bonita do Sul</t>
  </si>
  <si>
    <t>RS - Lagoão</t>
  </si>
  <si>
    <t>RS - Lajeado</t>
  </si>
  <si>
    <t>RS - Lindolfo Collor</t>
  </si>
  <si>
    <t>RS - Maçambara</t>
  </si>
  <si>
    <t>RS - Manoel Viana</t>
  </si>
  <si>
    <t>RS - Maratá</t>
  </si>
  <si>
    <t>RS - Mata</t>
  </si>
  <si>
    <t>RS - Mato Leitão</t>
  </si>
  <si>
    <t>RS - Minas do Leão</t>
  </si>
  <si>
    <t>RS - Montenegro</t>
  </si>
  <si>
    <t>RS - Morro Reuter</t>
  </si>
  <si>
    <t>RS - Muçum</t>
  </si>
  <si>
    <t>RS - Nova Bréscia</t>
  </si>
  <si>
    <t>RS - Nova Esperança do Sul</t>
  </si>
  <si>
    <t>RS - Nova Santa Rita</t>
  </si>
  <si>
    <t>RS - Novo Cabrais</t>
  </si>
  <si>
    <t>RS - Novo Hamburgo</t>
  </si>
  <si>
    <t>RS - Paraíso do Sul</t>
  </si>
  <si>
    <t>RS - Pareci Novo</t>
  </si>
  <si>
    <t>RS - Passa Sete</t>
  </si>
  <si>
    <t>RS - Passo do Sobrado</t>
  </si>
  <si>
    <t>RS - Paverama</t>
  </si>
  <si>
    <t>RS - Portão</t>
  </si>
  <si>
    <t>RS - Presidente Lucena</t>
  </si>
  <si>
    <t>RS - Quaraí</t>
  </si>
  <si>
    <t>RS - Quevedos</t>
  </si>
  <si>
    <t>RS - Relvado</t>
  </si>
  <si>
    <t>RS - Restinga Seca</t>
  </si>
  <si>
    <t>RS - Rio Pardo</t>
  </si>
  <si>
    <t>RS - Roca Sales</t>
  </si>
  <si>
    <t>RS - Rosário do Sul</t>
  </si>
  <si>
    <t>RS - Salvador do Sul</t>
  </si>
  <si>
    <t>RS - Santa Clara do Sul</t>
  </si>
  <si>
    <t>RS - Santa Cruz do Sul</t>
  </si>
  <si>
    <t>RS - Santa Margarida do Sul</t>
  </si>
  <si>
    <t>RS - Santa Maria</t>
  </si>
  <si>
    <t>RS - Santa Maria do Herval</t>
  </si>
  <si>
    <t>RS - Santana da Boa Vista</t>
  </si>
  <si>
    <t>RS - Santiago</t>
  </si>
  <si>
    <t>RS - Santo Antônio das Missões</t>
  </si>
  <si>
    <t>RS - São Borja</t>
  </si>
  <si>
    <t>RS - São Francisco de Assis</t>
  </si>
  <si>
    <t>RS - São Gabriel</t>
  </si>
  <si>
    <t>RS - São João do Polêsine</t>
  </si>
  <si>
    <t>RS - São José do Hortêncio</t>
  </si>
  <si>
    <t>RS - São José do Sul</t>
  </si>
  <si>
    <t>RS - São Leopoldo</t>
  </si>
  <si>
    <t>RS - São Miguel das Missões</t>
  </si>
  <si>
    <t>RS - São Pedro do Sul</t>
  </si>
  <si>
    <t>RS - São Sebastião do Caí</t>
  </si>
  <si>
    <t>RS - São Sepé</t>
  </si>
  <si>
    <t>RS - São Vendelino</t>
  </si>
  <si>
    <t>RS - São Vicente do Sul</t>
  </si>
  <si>
    <t>RS - Sapiranga</t>
  </si>
  <si>
    <t>RS - Segredo</t>
  </si>
  <si>
    <t>RS - Sério</t>
  </si>
  <si>
    <t>RS - Sinimbu</t>
  </si>
  <si>
    <t>RS - Sobradinho</t>
  </si>
  <si>
    <t>RS - Tabaí</t>
  </si>
  <si>
    <t>RS - Taquari</t>
  </si>
  <si>
    <t>RS - Teutônia</t>
  </si>
  <si>
    <t>RS - Toropi</t>
  </si>
  <si>
    <t>RS - Travesseiro</t>
  </si>
  <si>
    <t>RS - Triunfo</t>
  </si>
  <si>
    <t>RS - Tunas</t>
  </si>
  <si>
    <t>RS - Tupandi</t>
  </si>
  <si>
    <t>RS - Unistalda</t>
  </si>
  <si>
    <t>RS - Uruguaiana</t>
  </si>
  <si>
    <t>RS - Vale do Sol</t>
  </si>
  <si>
    <t>RS - Vale Verde</t>
  </si>
  <si>
    <t>RS - Venâncio Aires</t>
  </si>
  <si>
    <t>RS - Vera Cruz</t>
  </si>
  <si>
    <t>RS - Vespasiano Correa</t>
  </si>
  <si>
    <t>RS - Vila Nova do Sul</t>
  </si>
  <si>
    <t>SP - Águas de Lindóia</t>
  </si>
  <si>
    <t>SP - Águas de São Pedro</t>
  </si>
  <si>
    <t>SP - Agudos</t>
  </si>
  <si>
    <t>SP - Alto Alegre</t>
  </si>
  <si>
    <t>SP - Álvaro de Carvalho</t>
  </si>
  <si>
    <t>SP - Alvinlândia</t>
  </si>
  <si>
    <t>SP - Americana</t>
  </si>
  <si>
    <t>SP - Amparo</t>
  </si>
  <si>
    <t>SP - Analândia</t>
  </si>
  <si>
    <t>SP - Araçatuba</t>
  </si>
  <si>
    <t>SP - Aramina</t>
  </si>
  <si>
    <t>SP - Araraquara</t>
  </si>
  <si>
    <t>SP - Arealva</t>
  </si>
  <si>
    <t>SP - Areiópolis</t>
  </si>
  <si>
    <t>SP - Ariranha</t>
  </si>
  <si>
    <t>SP - Avaí</t>
  </si>
  <si>
    <t>SP - Avanhandava</t>
  </si>
  <si>
    <t>SP - Bady Bassitt</t>
  </si>
  <si>
    <t>SP - Balbinos</t>
  </si>
  <si>
    <t>SP - Bálsamo</t>
  </si>
  <si>
    <t>SP - Barbosa</t>
  </si>
  <si>
    <t>SP - Bariri</t>
  </si>
  <si>
    <t>SP - Barra Bonita</t>
  </si>
  <si>
    <t>SP - Barretos</t>
  </si>
  <si>
    <t>SP - Barrinha</t>
  </si>
  <si>
    <t>SP - Batatais</t>
  </si>
  <si>
    <t>SP - Bauru</t>
  </si>
  <si>
    <t>SP - Bebedouro</t>
  </si>
  <si>
    <t>SP - Bento de Abreu</t>
  </si>
  <si>
    <t>SP - Bilac</t>
  </si>
  <si>
    <t>SP - Birigui</t>
  </si>
  <si>
    <t>SP - Boa Esperança do Sul</t>
  </si>
  <si>
    <t>SP - Bocaina</t>
  </si>
  <si>
    <t>SP - Bofete</t>
  </si>
  <si>
    <t>SP - Boracéia</t>
  </si>
  <si>
    <t>SP - Borebi</t>
  </si>
  <si>
    <t>SP - Botucatu</t>
  </si>
  <si>
    <t>SP - Braúna</t>
  </si>
  <si>
    <t>SP - Brejo Alegre</t>
  </si>
  <si>
    <t>SP - Brodowski</t>
  </si>
  <si>
    <t>SP - Brotas</t>
  </si>
  <si>
    <t>SP - Buritizal</t>
  </si>
  <si>
    <t>SP - Cabrália Paulista</t>
  </si>
  <si>
    <t>SP - Cafelândia</t>
  </si>
  <si>
    <t>SP - Cajobi</t>
  </si>
  <si>
    <t>SP - Cajuru</t>
  </si>
  <si>
    <t>SP - Campos Novos Paulista</t>
  </si>
  <si>
    <t>SP - Cândido Rodrigues</t>
  </si>
  <si>
    <t>SP - Capivari</t>
  </si>
  <si>
    <t>SP - Cássia dos Coqueiros</t>
  </si>
  <si>
    <t>SP - Cedral</t>
  </si>
  <si>
    <t>SP - Charqueada</t>
  </si>
  <si>
    <t>SP - Clementina</t>
  </si>
  <si>
    <t>SP - Colina</t>
  </si>
  <si>
    <t>SP - Colômbia</t>
  </si>
  <si>
    <t>SP - Coroados</t>
  </si>
  <si>
    <t>SP - Cosmópolis</t>
  </si>
  <si>
    <t>SP - Cravinhos</t>
  </si>
  <si>
    <t>SP - Cristais Paulista</t>
  </si>
  <si>
    <t>SP - Descalvado</t>
  </si>
  <si>
    <t>SP - Dobrada</t>
  </si>
  <si>
    <t>SP - Dois Córregos</t>
  </si>
  <si>
    <t>SP - Dourado</t>
  </si>
  <si>
    <t>SP - Duartina</t>
  </si>
  <si>
    <t>SP - Dumont</t>
  </si>
  <si>
    <t>SP - Elias Fausto</t>
  </si>
  <si>
    <t>SP - Embaúba</t>
  </si>
  <si>
    <t>SP - Espírito Santo do Pinhal</t>
  </si>
  <si>
    <t>SP - Fernando Prestes</t>
  </si>
  <si>
    <t>SP - Fernão</t>
  </si>
  <si>
    <t>SP - Franca</t>
  </si>
  <si>
    <t>SP - Gabriel Monteiro</t>
  </si>
  <si>
    <t>SP - Gália</t>
  </si>
  <si>
    <t>SP - Garça</t>
  </si>
  <si>
    <t>SP - Gavião Peixoto</t>
  </si>
  <si>
    <t>SP - Getulina</t>
  </si>
  <si>
    <t>SP - Glicério</t>
  </si>
  <si>
    <t>SP - Guaiçara</t>
  </si>
  <si>
    <t>SP - Guaimbê</t>
  </si>
  <si>
    <t>SP - Guaíra</t>
  </si>
  <si>
    <t>SP - Guapiaçu</t>
  </si>
  <si>
    <t>SP - Guará</t>
  </si>
  <si>
    <t>SP - Guaraci</t>
  </si>
  <si>
    <t>SP - Guarantã</t>
  </si>
  <si>
    <t>SP - Guararapes</t>
  </si>
  <si>
    <t>SP - Guariba</t>
  </si>
  <si>
    <t>SP - Guatapará</t>
  </si>
  <si>
    <t>SP - Herculândia</t>
  </si>
  <si>
    <t>SP - Hortolândia</t>
  </si>
  <si>
    <t>SP - Iacanga</t>
  </si>
  <si>
    <t>SP - Ibaté</t>
  </si>
  <si>
    <t>SP - Ibirá</t>
  </si>
  <si>
    <t>SP - Ibitinga</t>
  </si>
  <si>
    <t>SP - Icém</t>
  </si>
  <si>
    <t>SP - Igaraçu do Tietê</t>
  </si>
  <si>
    <t>SP - Igarapava</t>
  </si>
  <si>
    <t>SP - Ipiguá</t>
  </si>
  <si>
    <t>SP - Ipuã</t>
  </si>
  <si>
    <t>SP - Itaju</t>
  </si>
  <si>
    <t>SP - Itapira</t>
  </si>
  <si>
    <t>SP - Itápolis</t>
  </si>
  <si>
    <t>SP - Itapuí</t>
  </si>
  <si>
    <t>SP - Itatiba</t>
  </si>
  <si>
    <t>SP - Itatinga</t>
  </si>
  <si>
    <t>SP - Itirapuã</t>
  </si>
  <si>
    <t>SP - Ituverava</t>
  </si>
  <si>
    <t>SP - Jaborandi</t>
  </si>
  <si>
    <t>SP - Jaboticabal</t>
  </si>
  <si>
    <t>SP - Jaci</t>
  </si>
  <si>
    <t>SP - Jardinópolis</t>
  </si>
  <si>
    <t>SP - Jaú</t>
  </si>
  <si>
    <t>SP - Jeriquara</t>
  </si>
  <si>
    <t>SP - José Bonifácio</t>
  </si>
  <si>
    <t>SP - Júlio Mesquita</t>
  </si>
  <si>
    <t>SP - Lençóis Paulista</t>
  </si>
  <si>
    <t>SP - Lindóia</t>
  </si>
  <si>
    <t>SP - Lins</t>
  </si>
  <si>
    <t>SP - Lucianópolis</t>
  </si>
  <si>
    <t>SP - Luís Antônio</t>
  </si>
  <si>
    <t>SP - Luiziânia</t>
  </si>
  <si>
    <t>SP - Lupércio</t>
  </si>
  <si>
    <t>SP - Macatuba</t>
  </si>
  <si>
    <t>SP - Marília</t>
  </si>
  <si>
    <t>SP - Matão</t>
  </si>
  <si>
    <t>SP - Miguelópolis</t>
  </si>
  <si>
    <t>SP - Mineiros do Tietê</t>
  </si>
  <si>
    <t>SP - Mirassol</t>
  </si>
  <si>
    <t>SP - Mirassolândia</t>
  </si>
  <si>
    <t>SP - Mombuca</t>
  </si>
  <si>
    <t>SP - Monte Alegre do Sul</t>
  </si>
  <si>
    <t>SP - Monte Alto</t>
  </si>
  <si>
    <t>SP - Monte Aprazível</t>
  </si>
  <si>
    <t>SP - Monte Azul Paulista</t>
  </si>
  <si>
    <t>SP - Monte Mor</t>
  </si>
  <si>
    <t>SP - Morro Agudo</t>
  </si>
  <si>
    <t>SP - Morungaba</t>
  </si>
  <si>
    <t>SP - Motuca</t>
  </si>
  <si>
    <t>SP - Neves Paulista</t>
  </si>
  <si>
    <t>SP - Nova Europa</t>
  </si>
  <si>
    <t>SP - Nova Granada</t>
  </si>
  <si>
    <t>SP - Nova Odessa</t>
  </si>
  <si>
    <t>SP - Nuporanga</t>
  </si>
  <si>
    <t>SP - Ocauçu</t>
  </si>
  <si>
    <t>SP - Olímpia</t>
  </si>
  <si>
    <t>SP - Onda Verde</t>
  </si>
  <si>
    <t>SP - Oriente</t>
  </si>
  <si>
    <t>SP - Orlândia</t>
  </si>
  <si>
    <t>SP - Palestina</t>
  </si>
  <si>
    <t>SP - Palmares Paulista</t>
  </si>
  <si>
    <t>SP - Paraíso</t>
  </si>
  <si>
    <t>SP - Pardinho</t>
  </si>
  <si>
    <t>SP - Patrocínio Paulista</t>
  </si>
  <si>
    <t>SP - Paulínia</t>
  </si>
  <si>
    <t>SP - Paulistânia</t>
  </si>
  <si>
    <t>SP - Pederneiras</t>
  </si>
  <si>
    <t>SP - Pedregulho</t>
  </si>
  <si>
    <t>SP - Penápolis</t>
  </si>
  <si>
    <t>SP - Piacatu</t>
  </si>
  <si>
    <t>SP - Pindorama</t>
  </si>
  <si>
    <t>SP - Piracicaba</t>
  </si>
  <si>
    <t>SP - Pirajuí</t>
  </si>
  <si>
    <t>SP - Pirangi</t>
  </si>
  <si>
    <t>SP - Piratininga</t>
  </si>
  <si>
    <t>SP - Pitangueiras</t>
  </si>
  <si>
    <t>SP - Poloni</t>
  </si>
  <si>
    <t>SP - Pompéia</t>
  </si>
  <si>
    <t>SP - Pongaí</t>
  </si>
  <si>
    <t>SP - Pontal</t>
  </si>
  <si>
    <t>SP - Potirendaba</t>
  </si>
  <si>
    <t>SP - Pradópolis</t>
  </si>
  <si>
    <t>SP - Pratânia</t>
  </si>
  <si>
    <t>SP - Presidente Alves</t>
  </si>
  <si>
    <t>SP - Promissão</t>
  </si>
  <si>
    <t>SP - Queiroz</t>
  </si>
  <si>
    <t>SP - Quintana</t>
  </si>
  <si>
    <t>SP - Rafard</t>
  </si>
  <si>
    <t>SP - Reginópolis</t>
  </si>
  <si>
    <t>SP - Restinga</t>
  </si>
  <si>
    <t>SP - Ribeirão Bonito</t>
  </si>
  <si>
    <t>SP - Ribeirão Corrente</t>
  </si>
  <si>
    <t>SP - Ribeirão Preto</t>
  </si>
  <si>
    <t>SP - Rifaina</t>
  </si>
  <si>
    <t>SP - Rincão</t>
  </si>
  <si>
    <t>SP - Rio das Pedras</t>
  </si>
  <si>
    <t>SP - Rubiácea</t>
  </si>
  <si>
    <t>SP - Sabino</t>
  </si>
  <si>
    <t>SP - Sales Oliveira</t>
  </si>
  <si>
    <t>SP - Saltinho</t>
  </si>
  <si>
    <t>SP - Santa Adélia</t>
  </si>
  <si>
    <t>SP - Santa Bárbara d´Oeste</t>
  </si>
  <si>
    <t>SP - Santa Cruz da Esperança</t>
  </si>
  <si>
    <t>SP - Santa Ernestina</t>
  </si>
  <si>
    <t>SP - Santa Lúcia</t>
  </si>
  <si>
    <t>SP - Santa Maria da Serra</t>
  </si>
  <si>
    <t>SP - Santa Rosa de Viterbo</t>
  </si>
  <si>
    <t>SP - Santo Antônio da Alegria</t>
  </si>
  <si>
    <t>SP - Santo Antônio do Aracanguá</t>
  </si>
  <si>
    <t>SP - Santo Antônio do Jardim</t>
  </si>
  <si>
    <t>SP - Santópolis do Aguapeí</t>
  </si>
  <si>
    <t>SP - São Carlos</t>
  </si>
  <si>
    <t>SP - São Joaquim da Barra</t>
  </si>
  <si>
    <t>SP - São José da Bela Vista</t>
  </si>
  <si>
    <t>SP - São José do Rio Preto</t>
  </si>
  <si>
    <t>SP - São Manuel</t>
  </si>
  <si>
    <t>SP - São Pedro</t>
  </si>
  <si>
    <t>SP - São Simão</t>
  </si>
  <si>
    <t>SP - Serra Azul</t>
  </si>
  <si>
    <t>SP - Serra Negra</t>
  </si>
  <si>
    <t>SP - Serrana</t>
  </si>
  <si>
    <t>SP - Sertãozinho</t>
  </si>
  <si>
    <t>SP - Severínia</t>
  </si>
  <si>
    <t>SP - Socorro</t>
  </si>
  <si>
    <t>SP - Sumaré</t>
  </si>
  <si>
    <t>SP - Tabatinga</t>
  </si>
  <si>
    <t>SP - Taiaçu</t>
  </si>
  <si>
    <t>SP - Taiúva</t>
  </si>
  <si>
    <t>SP - Tanabi</t>
  </si>
  <si>
    <t>SP - Taquaral</t>
  </si>
  <si>
    <t>SP - Taquaritinga</t>
  </si>
  <si>
    <t>SP - Terra Roxa</t>
  </si>
  <si>
    <t>SP - Torrinha</t>
  </si>
  <si>
    <t>SP - Trabiju</t>
  </si>
  <si>
    <t>SP - Ubarana</t>
  </si>
  <si>
    <t>SP - Uchoa</t>
  </si>
  <si>
    <t>SP - Uru</t>
  </si>
  <si>
    <t>SP - Valinhos</t>
  </si>
  <si>
    <t>SP - Valparaíso</t>
  </si>
  <si>
    <t>SP - Vera Cruz</t>
  </si>
  <si>
    <t>SP - Viradouro</t>
  </si>
  <si>
    <t>SP - Vista Alegre do Alto</t>
  </si>
  <si>
    <t>SP - Alumínio</t>
  </si>
  <si>
    <t>SP - Araçariguama</t>
  </si>
  <si>
    <t>SP - Araçoiaba da Serra</t>
  </si>
  <si>
    <t>SP - Boituva</t>
  </si>
  <si>
    <t>SP - Campo Limpo Paulista</t>
  </si>
  <si>
    <t>SP - Capela do Alto</t>
  </si>
  <si>
    <t>SP - Cubatão</t>
  </si>
  <si>
    <t>SP - Guarujá</t>
  </si>
  <si>
    <t>SP - Ibiúna</t>
  </si>
  <si>
    <t>SP - Indaiatuba</t>
  </si>
  <si>
    <t>SP - Iperó</t>
  </si>
  <si>
    <t>SP - Itu</t>
  </si>
  <si>
    <t>SP - Itupeva</t>
  </si>
  <si>
    <t>SP - Jundiaí</t>
  </si>
  <si>
    <t>SP - Louveira</t>
  </si>
  <si>
    <t>SP - Mairinque</t>
  </si>
  <si>
    <t>SP - Porto Feliz</t>
  </si>
  <si>
    <t>SP - Praia Grande</t>
  </si>
  <si>
    <t>SP - Salto</t>
  </si>
  <si>
    <t>SP - Salto de Pirapora</t>
  </si>
  <si>
    <t>SP - Santos</t>
  </si>
  <si>
    <t>SP - São Roque</t>
  </si>
  <si>
    <t>SP - São Vicente</t>
  </si>
  <si>
    <t>SP - Sorocaba</t>
  </si>
  <si>
    <t>SP - Várzea Paulista</t>
  </si>
  <si>
    <t>SP - Vinhedo</t>
  </si>
  <si>
    <t>SP - Votorantim</t>
  </si>
  <si>
    <t>SP - Alambari</t>
  </si>
  <si>
    <t>SP - Guareí</t>
  </si>
  <si>
    <t>SP - São Miguel Arcanjo</t>
  </si>
  <si>
    <t>SP - Sarapuí</t>
  </si>
  <si>
    <t>SP - Águas de Santa Bárbara</t>
  </si>
  <si>
    <t>SP - Arandu</t>
  </si>
  <si>
    <t>SP - Avaré</t>
  </si>
  <si>
    <t>PR - Barra do Jacaré</t>
  </si>
  <si>
    <t>SP - Bernardino de Campos</t>
  </si>
  <si>
    <t>SP - Cerqueira César</t>
  </si>
  <si>
    <t>SP - Chavantes</t>
  </si>
  <si>
    <t>SP - Espírito Santo do Turvo</t>
  </si>
  <si>
    <t>SP - Iaras</t>
  </si>
  <si>
    <t>SP - Ipaussu</t>
  </si>
  <si>
    <t>SP - Itaí</t>
  </si>
  <si>
    <t>PR - Jacarezinho</t>
  </si>
  <si>
    <t>SP - Manduri</t>
  </si>
  <si>
    <t>SP - Óleo</t>
  </si>
  <si>
    <t>SP - Ourinhos</t>
  </si>
  <si>
    <t>SP - Paranapanema</t>
  </si>
  <si>
    <t>SP - Piraju</t>
  </si>
  <si>
    <t>PR - Ribeirão Claro</t>
  </si>
  <si>
    <t>SP - Santa Cruz do Rio Pardo</t>
  </si>
  <si>
    <t>SP - São Pedro do Turvo</t>
  </si>
  <si>
    <t>SP - Sarutaiá</t>
  </si>
  <si>
    <t>SP - Taguaí</t>
  </si>
  <si>
    <t>SP - Taquarituba</t>
  </si>
  <si>
    <t>SP - Tejupá</t>
  </si>
  <si>
    <t>SP - Timburi</t>
  </si>
  <si>
    <t>SP - Ubirajara</t>
  </si>
  <si>
    <t>MG - Arceburgo</t>
  </si>
  <si>
    <t>MG - Itamogi</t>
  </si>
  <si>
    <t>SP - Mococa</t>
  </si>
  <si>
    <t>MG - Monte Santo de Minas</t>
  </si>
  <si>
    <t>SP - Caconde</t>
  </si>
  <si>
    <t>SP - Casa Branca</t>
  </si>
  <si>
    <t>SP - Divinolândia</t>
  </si>
  <si>
    <t>SP - Itobi</t>
  </si>
  <si>
    <t>SP - São José do Rio Pardo</t>
  </si>
  <si>
    <t>SP - São Sebastião da Grama</t>
  </si>
  <si>
    <t>SP - Tapiratiba</t>
  </si>
  <si>
    <t>SP - Jaguariúna</t>
  </si>
  <si>
    <t>SP - Pedreira</t>
  </si>
  <si>
    <t>Potência PCS</t>
  </si>
  <si>
    <t>Capacidade da bateria</t>
  </si>
  <si>
    <t>Fator de perda estimado (Bateria+SOC+Autodescarga+Conversão+Fator de Segurança)</t>
  </si>
  <si>
    <t>Ultima atualização</t>
  </si>
  <si>
    <t>PIS/Confis</t>
  </si>
  <si>
    <t>CEE - [R$ / MWh]</t>
  </si>
  <si>
    <t>CEE (Solar) - [R$ / MWh]</t>
  </si>
  <si>
    <t>CED - [R$/kW-ano]</t>
  </si>
  <si>
    <t>Grupo A (A1, A2, A3, A3a e A4)</t>
  </si>
  <si>
    <t>Grupo B (B1, B2 e B3)</t>
  </si>
  <si>
    <t>2.h)</t>
  </si>
  <si>
    <t>3.h)</t>
  </si>
  <si>
    <t>Custo da energia evitada (CEE solar) =</t>
  </si>
  <si>
    <t/>
  </si>
  <si>
    <t>Conforme §1º, Art. 73 da REN nº 1.000/2021</t>
  </si>
  <si>
    <t xml:space="preserve">BESS </t>
  </si>
  <si>
    <t>Possui sistema fotovoltaico? Se sim, inserir potêncial total instalada (KW)</t>
  </si>
  <si>
    <t>Se Grupo A, qual a demanda contratada (kW)?</t>
  </si>
  <si>
    <t>Versão 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</si>
</sst>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#,##0.00;\-#,##0.00;0.00;@"/>
    <numFmt numFmtId="166" formatCode="#,##0.00_ ;\-#,##0.00\ "/>
    <numFmt numFmtId="167" formatCode="#,##0.00000"/>
    <numFmt numFmtId="168" formatCode="0.00;\-0.00;&quot;-&quot;;@"/>
    <numFmt numFmtId="169" formatCode="#,##0.00;\-#,##0.00;&quot;&quot;;@"/>
    <numFmt numFmtId="170" formatCode="[&lt;10000000000]&quot;(&quot;00&quot;) &quot;0000&quot;-&quot;0000;&quot;(&quot;00&quot;) &quot;00000&quot;-&quot;0000"/>
    <numFmt numFmtId="171" formatCode="&quot;R$&quot;\ #,##0.00"/>
    <numFmt numFmtId="172" formatCode="[$-416]mmm\-yy;@"/>
    <numFmt numFmtId="173" formatCode="0.000%"/>
    <numFmt numFmtId="174" formatCode="[$-F400]h:mm:ss\ AM/PM"/>
    <numFmt numFmtId="175" formatCode="_-* #,##0_-;\-* #,##0_-;_-* &quot;-&quot;??_-;_-@_-"/>
    <numFmt numFmtId="176" formatCode="_-&quot;R$&quot;\ * #,##0.0_-;\-&quot;R$&quot;\ * #,##0.0_-;_-&quot;R$&quot;\ * &quot;-&quot;??_-;_-@_-"/>
  </numFmts>
  <fonts count="7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b/>
      <vertAlign val="subscript"/>
      <sz val="2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name val="Calibri"/>
      <family val="2"/>
    </font>
    <font>
      <i/>
      <vertAlign val="subscript"/>
      <sz val="11"/>
      <name val="Calibri"/>
      <family val="2"/>
    </font>
    <font>
      <b/>
      <i/>
      <vertAlign val="subscript"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9" tint="0.79998168889431442"/>
      <name val="Webdings"/>
      <family val="1"/>
      <charset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4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3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4" fillId="2" borderId="0" applyNumberFormat="0" applyBorder="0" applyAlignment="0" applyProtection="0"/>
    <xf numFmtId="0" fontId="25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001">
    <xf numFmtId="0" fontId="0" fillId="0" borderId="0" xfId="0"/>
    <xf numFmtId="44" fontId="23" fillId="0" borderId="1" xfId="3" applyFont="1" applyFill="1" applyBorder="1" applyAlignment="1" applyProtection="1">
      <alignment horizontal="left" vertical="center"/>
      <protection locked="0"/>
    </xf>
    <xf numFmtId="3" fontId="0" fillId="0" borderId="1" xfId="0" quotePrefix="1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 shrinkToFit="1"/>
      <protection locked="0"/>
    </xf>
    <xf numFmtId="4" fontId="26" fillId="0" borderId="1" xfId="0" applyNumberFormat="1" applyFont="1" applyBorder="1" applyAlignment="1" applyProtection="1">
      <alignment horizontal="right" vertical="center" shrinkToFit="1"/>
      <protection locked="0"/>
    </xf>
    <xf numFmtId="0" fontId="26" fillId="0" borderId="2" xfId="0" applyFont="1" applyBorder="1" applyAlignment="1" applyProtection="1">
      <alignment vertical="center" shrinkToFit="1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3" fontId="26" fillId="0" borderId="1" xfId="0" applyNumberFormat="1" applyFont="1" applyBorder="1" applyAlignment="1" applyProtection="1">
      <alignment vertical="center"/>
      <protection locked="0"/>
    </xf>
    <xf numFmtId="4" fontId="26" fillId="4" borderId="1" xfId="0" applyNumberFormat="1" applyFont="1" applyFill="1" applyBorder="1" applyAlignment="1" applyProtection="1">
      <alignment vertical="center"/>
      <protection locked="0"/>
    </xf>
    <xf numFmtId="10" fontId="26" fillId="4" borderId="1" xfId="0" applyNumberFormat="1" applyFont="1" applyFill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3" fontId="26" fillId="4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3" fontId="0" fillId="4" borderId="1" xfId="0" applyNumberFormat="1" applyFill="1" applyBorder="1" applyAlignment="1" applyProtection="1">
      <alignment horizontal="right"/>
      <protection locked="0"/>
    </xf>
    <xf numFmtId="44" fontId="23" fillId="4" borderId="1" xfId="3" applyFont="1" applyFill="1" applyBorder="1" applyAlignment="1" applyProtection="1">
      <alignment horizontal="left"/>
      <protection locked="0"/>
    </xf>
    <xf numFmtId="4" fontId="26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26" fillId="4" borderId="2" xfId="0" applyFont="1" applyFill="1" applyBorder="1" applyAlignment="1" applyProtection="1">
      <alignment vertical="center" shrinkToFi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vertical="center"/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10" fontId="0" fillId="4" borderId="1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8" fillId="5" borderId="0" xfId="0" applyFont="1" applyFill="1" applyProtection="1">
      <protection locked="0"/>
    </xf>
    <xf numFmtId="0" fontId="29" fillId="0" borderId="0" xfId="0" applyFont="1"/>
    <xf numFmtId="0" fontId="28" fillId="4" borderId="0" xfId="0" applyFont="1" applyFill="1" applyProtection="1">
      <protection locked="0"/>
    </xf>
    <xf numFmtId="0" fontId="28" fillId="4" borderId="0" xfId="0" applyFont="1" applyFill="1" applyAlignment="1" applyProtection="1">
      <alignment horizontal="center"/>
      <protection locked="0"/>
    </xf>
    <xf numFmtId="0" fontId="28" fillId="4" borderId="0" xfId="0" applyFont="1" applyFill="1" applyAlignment="1" applyProtection="1">
      <alignment horizontal="right"/>
      <protection locked="0"/>
    </xf>
    <xf numFmtId="0" fontId="29" fillId="4" borderId="0" xfId="0" applyFont="1" applyFill="1" applyProtection="1">
      <protection locked="0"/>
    </xf>
    <xf numFmtId="2" fontId="29" fillId="4" borderId="0" xfId="0" applyNumberFormat="1" applyFont="1" applyFill="1" applyAlignment="1" applyProtection="1">
      <alignment horizontal="center"/>
      <protection locked="0"/>
    </xf>
    <xf numFmtId="0" fontId="29" fillId="6" borderId="0" xfId="0" applyFont="1" applyFill="1" applyProtection="1">
      <protection locked="0"/>
    </xf>
    <xf numFmtId="2" fontId="29" fillId="4" borderId="0" xfId="0" applyNumberFormat="1" applyFont="1" applyFill="1" applyAlignment="1" applyProtection="1">
      <alignment horizontal="right"/>
      <protection locked="0"/>
    </xf>
    <xf numFmtId="14" fontId="29" fillId="4" borderId="0" xfId="0" applyNumberFormat="1" applyFont="1" applyFill="1" applyAlignment="1" applyProtection="1">
      <alignment horizontal="right"/>
      <protection locked="0"/>
    </xf>
    <xf numFmtId="4" fontId="27" fillId="4" borderId="1" xfId="0" applyNumberFormat="1" applyFont="1" applyFill="1" applyBorder="1" applyAlignment="1" applyProtection="1">
      <alignment vertical="center"/>
      <protection locked="0"/>
    </xf>
    <xf numFmtId="0" fontId="29" fillId="4" borderId="0" xfId="0" applyFont="1" applyFill="1"/>
    <xf numFmtId="3" fontId="29" fillId="4" borderId="0" xfId="0" applyNumberFormat="1" applyFont="1" applyFill="1"/>
    <xf numFmtId="14" fontId="29" fillId="4" borderId="0" xfId="0" applyNumberFormat="1" applyFont="1" applyFill="1"/>
    <xf numFmtId="0" fontId="28" fillId="5" borderId="0" xfId="0" applyFont="1" applyFill="1" applyAlignment="1" applyProtection="1">
      <alignment horizontal="center"/>
      <protection locked="0"/>
    </xf>
    <xf numFmtId="17" fontId="28" fillId="4" borderId="0" xfId="0" applyNumberFormat="1" applyFont="1" applyFill="1" applyAlignment="1" applyProtection="1">
      <alignment horizontal="center"/>
      <protection locked="0"/>
    </xf>
    <xf numFmtId="0" fontId="28" fillId="7" borderId="0" xfId="0" applyFont="1" applyFill="1" applyAlignment="1" applyProtection="1">
      <alignment horizontal="right"/>
      <protection locked="0"/>
    </xf>
    <xf numFmtId="44" fontId="23" fillId="3" borderId="1" xfId="3" applyFont="1" applyFill="1" applyBorder="1" applyAlignment="1" applyProtection="1">
      <alignment horizontal="left"/>
    </xf>
    <xf numFmtId="44" fontId="23" fillId="8" borderId="1" xfId="3" applyFont="1" applyFill="1" applyBorder="1" applyProtection="1"/>
    <xf numFmtId="10" fontId="0" fillId="8" borderId="1" xfId="0" applyNumberFormat="1" applyFill="1" applyBorder="1"/>
    <xf numFmtId="0" fontId="0" fillId="3" borderId="1" xfId="0" applyFill="1" applyBorder="1" applyAlignment="1">
      <alignment horizontal="right"/>
    </xf>
    <xf numFmtId="0" fontId="30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30" fillId="4" borderId="7" xfId="0" applyFont="1" applyFill="1" applyBorder="1"/>
    <xf numFmtId="0" fontId="31" fillId="4" borderId="0" xfId="0" applyFont="1" applyFill="1"/>
    <xf numFmtId="0" fontId="0" fillId="4" borderId="8" xfId="0" applyFill="1" applyBorder="1"/>
    <xf numFmtId="0" fontId="32" fillId="9" borderId="9" xfId="0" applyFont="1" applyFill="1" applyBorder="1"/>
    <xf numFmtId="0" fontId="32" fillId="9" borderId="10" xfId="0" applyFont="1" applyFill="1" applyBorder="1"/>
    <xf numFmtId="0" fontId="32" fillId="9" borderId="2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3" borderId="11" xfId="0" applyFill="1" applyBorder="1"/>
    <xf numFmtId="0" fontId="31" fillId="3" borderId="12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30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30" fillId="4" borderId="0" xfId="0" applyFont="1" applyFill="1"/>
    <xf numFmtId="0" fontId="0" fillId="4" borderId="7" xfId="0" applyFill="1" applyBorder="1"/>
    <xf numFmtId="0" fontId="26" fillId="4" borderId="8" xfId="0" applyFont="1" applyFill="1" applyBorder="1"/>
    <xf numFmtId="0" fontId="31" fillId="4" borderId="7" xfId="0" applyFont="1" applyFill="1" applyBorder="1"/>
    <xf numFmtId="0" fontId="0" fillId="4" borderId="0" xfId="0" applyFill="1" applyAlignment="1">
      <alignment vertical="center"/>
    </xf>
    <xf numFmtId="0" fontId="31" fillId="4" borderId="11" xfId="0" applyFont="1" applyFill="1" applyBorder="1"/>
    <xf numFmtId="0" fontId="26" fillId="4" borderId="13" xfId="0" applyFont="1" applyFill="1" applyBorder="1"/>
    <xf numFmtId="0" fontId="26" fillId="4" borderId="0" xfId="0" applyFont="1" applyFill="1"/>
    <xf numFmtId="0" fontId="31" fillId="4" borderId="4" xfId="0" applyFont="1" applyFill="1" applyBorder="1"/>
    <xf numFmtId="0" fontId="26" fillId="4" borderId="6" xfId="0" applyFont="1" applyFill="1" applyBorder="1"/>
    <xf numFmtId="0" fontId="0" fillId="4" borderId="11" xfId="0" applyFill="1" applyBorder="1"/>
    <xf numFmtId="0" fontId="0" fillId="4" borderId="4" xfId="0" applyFill="1" applyBorder="1"/>
    <xf numFmtId="0" fontId="26" fillId="4" borderId="0" xfId="1" applyFont="1" applyFill="1" applyBorder="1" applyAlignment="1" applyProtection="1"/>
    <xf numFmtId="0" fontId="31" fillId="3" borderId="0" xfId="0" applyFont="1" applyFill="1"/>
    <xf numFmtId="0" fontId="34" fillId="3" borderId="36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4" fontId="32" fillId="3" borderId="0" xfId="1" applyNumberFormat="1" applyFont="1" applyFill="1" applyBorder="1" applyAlignment="1" applyProtection="1">
      <alignment horizontal="center"/>
    </xf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31" fillId="11" borderId="0" xfId="0" applyFont="1" applyFill="1"/>
    <xf numFmtId="0" fontId="0" fillId="11" borderId="0" xfId="0" applyFill="1"/>
    <xf numFmtId="0" fontId="0" fillId="11" borderId="8" xfId="0" applyFill="1" applyBorder="1"/>
    <xf numFmtId="0" fontId="34" fillId="11" borderId="37" xfId="0" applyFont="1" applyFill="1" applyBorder="1" applyAlignment="1">
      <alignment horizontal="center"/>
    </xf>
    <xf numFmtId="0" fontId="0" fillId="11" borderId="0" xfId="0" applyFill="1" applyAlignment="1">
      <alignment horizontal="right"/>
    </xf>
    <xf numFmtId="0" fontId="0" fillId="11" borderId="0" xfId="0" applyFill="1" applyAlignment="1">
      <alignment horizontal="center"/>
    </xf>
    <xf numFmtId="4" fontId="32" fillId="11" borderId="0" xfId="1" applyNumberFormat="1" applyFont="1" applyFill="1" applyBorder="1" applyAlignment="1" applyProtection="1">
      <alignment horizontal="center"/>
    </xf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4" borderId="0" xfId="0" applyFill="1" applyAlignment="1">
      <alignment horizontal="center" vertical="center"/>
    </xf>
    <xf numFmtId="0" fontId="31" fillId="12" borderId="15" xfId="0" applyFont="1" applyFill="1" applyBorder="1" applyAlignment="1">
      <alignment horizontal="center" vertical="center" wrapText="1"/>
    </xf>
    <xf numFmtId="0" fontId="0" fillId="3" borderId="1" xfId="0" applyFill="1" applyBorder="1"/>
    <xf numFmtId="4" fontId="0" fillId="3" borderId="1" xfId="0" applyNumberFormat="1" applyFill="1" applyBorder="1"/>
    <xf numFmtId="44" fontId="23" fillId="3" borderId="1" xfId="3" applyFont="1" applyFill="1" applyBorder="1" applyProtection="1"/>
    <xf numFmtId="2" fontId="0" fillId="3" borderId="1" xfId="0" applyNumberFormat="1" applyFill="1" applyBorder="1"/>
    <xf numFmtId="0" fontId="31" fillId="8" borderId="1" xfId="0" applyFont="1" applyFill="1" applyBorder="1"/>
    <xf numFmtId="4" fontId="31" fillId="8" borderId="1" xfId="0" applyNumberFormat="1" applyFont="1" applyFill="1" applyBorder="1"/>
    <xf numFmtId="44" fontId="31" fillId="8" borderId="1" xfId="3" applyFont="1" applyFill="1" applyBorder="1" applyProtection="1"/>
    <xf numFmtId="2" fontId="31" fillId="8" borderId="1" xfId="0" applyNumberFormat="1" applyFont="1" applyFill="1" applyBorder="1"/>
    <xf numFmtId="0" fontId="31" fillId="13" borderId="15" xfId="0" applyFont="1" applyFill="1" applyBorder="1" applyAlignment="1">
      <alignment horizontal="center" vertical="center" wrapText="1"/>
    </xf>
    <xf numFmtId="0" fontId="0" fillId="11" borderId="1" xfId="0" applyFill="1" applyBorder="1"/>
    <xf numFmtId="4" fontId="0" fillId="11" borderId="1" xfId="0" applyNumberFormat="1" applyFill="1" applyBorder="1"/>
    <xf numFmtId="44" fontId="23" fillId="11" borderId="1" xfId="3" applyFont="1" applyFill="1" applyBorder="1" applyProtection="1"/>
    <xf numFmtId="2" fontId="0" fillId="11" borderId="1" xfId="0" applyNumberFormat="1" applyFill="1" applyBorder="1"/>
    <xf numFmtId="0" fontId="31" fillId="14" borderId="1" xfId="0" applyFont="1" applyFill="1" applyBorder="1"/>
    <xf numFmtId="4" fontId="31" fillId="14" borderId="1" xfId="0" applyNumberFormat="1" applyFont="1" applyFill="1" applyBorder="1"/>
    <xf numFmtId="44" fontId="31" fillId="14" borderId="1" xfId="3" applyFont="1" applyFill="1" applyBorder="1" applyProtection="1"/>
    <xf numFmtId="2" fontId="31" fillId="14" borderId="1" xfId="0" applyNumberFormat="1" applyFont="1" applyFill="1" applyBorder="1"/>
    <xf numFmtId="4" fontId="32" fillId="15" borderId="4" xfId="0" applyNumberFormat="1" applyFont="1" applyFill="1" applyBorder="1"/>
    <xf numFmtId="0" fontId="32" fillId="15" borderId="6" xfId="0" applyFont="1" applyFill="1" applyBorder="1"/>
    <xf numFmtId="4" fontId="32" fillId="15" borderId="11" xfId="0" applyNumberFormat="1" applyFont="1" applyFill="1" applyBorder="1"/>
    <xf numFmtId="0" fontId="32" fillId="15" borderId="13" xfId="0" applyFont="1" applyFill="1" applyBorder="1"/>
    <xf numFmtId="0" fontId="24" fillId="9" borderId="14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10" fontId="31" fillId="8" borderId="1" xfId="0" applyNumberFormat="1" applyFont="1" applyFill="1" applyBorder="1"/>
    <xf numFmtId="44" fontId="31" fillId="8" borderId="1" xfId="3" applyFont="1" applyFill="1" applyBorder="1" applyAlignment="1" applyProtection="1">
      <alignment horizontal="left"/>
    </xf>
    <xf numFmtId="0" fontId="32" fillId="9" borderId="1" xfId="0" applyFont="1" applyFill="1" applyBorder="1"/>
    <xf numFmtId="44" fontId="32" fillId="9" borderId="1" xfId="3" applyFont="1" applyFill="1" applyBorder="1" applyProtection="1"/>
    <xf numFmtId="10" fontId="32" fillId="9" borderId="1" xfId="0" applyNumberFormat="1" applyFont="1" applyFill="1" applyBorder="1"/>
    <xf numFmtId="0" fontId="32" fillId="16" borderId="1" xfId="0" applyFont="1" applyFill="1" applyBorder="1" applyAlignment="1">
      <alignment horizontal="center"/>
    </xf>
    <xf numFmtId="10" fontId="31" fillId="8" borderId="1" xfId="4" applyNumberFormat="1" applyFont="1" applyFill="1" applyBorder="1" applyAlignment="1" applyProtection="1">
      <alignment horizontal="center"/>
    </xf>
    <xf numFmtId="10" fontId="0" fillId="12" borderId="1" xfId="0" applyNumberFormat="1" applyFill="1" applyBorder="1"/>
    <xf numFmtId="0" fontId="31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44" fontId="23" fillId="4" borderId="1" xfId="3" applyFont="1" applyFill="1" applyBorder="1" applyAlignment="1" applyProtection="1">
      <alignment horizontal="left"/>
    </xf>
    <xf numFmtId="44" fontId="23" fillId="0" borderId="1" xfId="3" applyFont="1" applyFill="1" applyBorder="1" applyAlignment="1" applyProtection="1">
      <alignment horizontal="left" vertical="center"/>
    </xf>
    <xf numFmtId="44" fontId="23" fillId="3" borderId="1" xfId="3" applyFont="1" applyFill="1" applyBorder="1" applyAlignment="1" applyProtection="1">
      <alignment horizontal="left" vertical="center"/>
    </xf>
    <xf numFmtId="0" fontId="31" fillId="3" borderId="9" xfId="0" applyFont="1" applyFill="1" applyBorder="1"/>
    <xf numFmtId="44" fontId="31" fillId="3" borderId="1" xfId="0" applyNumberFormat="1" applyFont="1" applyFill="1" applyBorder="1"/>
    <xf numFmtId="0" fontId="31" fillId="12" borderId="9" xfId="0" applyFont="1" applyFill="1" applyBorder="1"/>
    <xf numFmtId="44" fontId="31" fillId="12" borderId="1" xfId="0" applyNumberFormat="1" applyFont="1" applyFill="1" applyBorder="1"/>
    <xf numFmtId="44" fontId="31" fillId="12" borderId="1" xfId="3" applyFont="1" applyFill="1" applyBorder="1" applyAlignment="1" applyProtection="1">
      <alignment horizontal="left" vertical="center"/>
    </xf>
    <xf numFmtId="44" fontId="32" fillId="9" borderId="1" xfId="0" applyNumberFormat="1" applyFont="1" applyFill="1" applyBorder="1"/>
    <xf numFmtId="10" fontId="0" fillId="13" borderId="1" xfId="0" applyNumberFormat="1" applyFill="1" applyBorder="1"/>
    <xf numFmtId="0" fontId="31" fillId="11" borderId="1" xfId="0" applyFont="1" applyFill="1" applyBorder="1" applyAlignment="1">
      <alignment horizontal="center"/>
    </xf>
    <xf numFmtId="0" fontId="35" fillId="11" borderId="1" xfId="0" applyFont="1" applyFill="1" applyBorder="1" applyAlignment="1">
      <alignment horizontal="center" vertical="center" wrapText="1"/>
    </xf>
    <xf numFmtId="4" fontId="35" fillId="11" borderId="1" xfId="0" applyNumberFormat="1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/>
    </xf>
    <xf numFmtId="0" fontId="0" fillId="4" borderId="1" xfId="0" applyFill="1" applyBorder="1"/>
    <xf numFmtId="10" fontId="0" fillId="11" borderId="1" xfId="0" applyNumberFormat="1" applyFill="1" applyBorder="1" applyAlignment="1">
      <alignment horizontal="right"/>
    </xf>
    <xf numFmtId="44" fontId="23" fillId="11" borderId="1" xfId="3" applyFont="1" applyFill="1" applyBorder="1" applyAlignment="1" applyProtection="1">
      <alignment horizontal="left"/>
    </xf>
    <xf numFmtId="44" fontId="23" fillId="11" borderId="1" xfId="3" applyFont="1" applyFill="1" applyBorder="1" applyAlignment="1" applyProtection="1">
      <alignment horizontal="left" vertical="center"/>
    </xf>
    <xf numFmtId="0" fontId="31" fillId="11" borderId="9" xfId="0" applyFont="1" applyFill="1" applyBorder="1"/>
    <xf numFmtId="44" fontId="31" fillId="11" borderId="1" xfId="0" applyNumberFormat="1" applyFont="1" applyFill="1" applyBorder="1"/>
    <xf numFmtId="44" fontId="31" fillId="11" borderId="1" xfId="3" applyFont="1" applyFill="1" applyBorder="1" applyAlignment="1" applyProtection="1">
      <alignment horizontal="left" vertical="center"/>
    </xf>
    <xf numFmtId="0" fontId="31" fillId="13" borderId="9" xfId="0" applyFont="1" applyFill="1" applyBorder="1"/>
    <xf numFmtId="44" fontId="31" fillId="13" borderId="1" xfId="0" applyNumberFormat="1" applyFont="1" applyFill="1" applyBorder="1"/>
    <xf numFmtId="44" fontId="31" fillId="13" borderId="1" xfId="3" applyFont="1" applyFill="1" applyBorder="1" applyAlignment="1" applyProtection="1">
      <alignment horizontal="left" vertical="center"/>
    </xf>
    <xf numFmtId="0" fontId="32" fillId="15" borderId="9" xfId="0" applyFont="1" applyFill="1" applyBorder="1"/>
    <xf numFmtId="44" fontId="32" fillId="15" borderId="1" xfId="0" applyNumberFormat="1" applyFont="1" applyFill="1" applyBorder="1"/>
    <xf numFmtId="4" fontId="35" fillId="3" borderId="3" xfId="0" applyNumberFormat="1" applyFont="1" applyFill="1" applyBorder="1" applyAlignment="1">
      <alignment horizontal="center" vertical="center" wrapText="1"/>
    </xf>
    <xf numFmtId="0" fontId="26" fillId="3" borderId="9" xfId="0" quotePrefix="1" applyFont="1" applyFill="1" applyBorder="1" applyAlignment="1">
      <alignment horizontal="center" vertical="center"/>
    </xf>
    <xf numFmtId="4" fontId="26" fillId="4" borderId="1" xfId="0" applyNumberFormat="1" applyFont="1" applyFill="1" applyBorder="1" applyAlignment="1">
      <alignment horizontal="right" vertical="center" shrinkToFit="1"/>
    </xf>
    <xf numFmtId="3" fontId="0" fillId="0" borderId="1" xfId="0" quotePrefix="1" applyNumberFormat="1" applyBorder="1" applyAlignment="1">
      <alignment horizontal="right" vertical="center"/>
    </xf>
    <xf numFmtId="169" fontId="26" fillId="3" borderId="1" xfId="0" applyNumberFormat="1" applyFont="1" applyFill="1" applyBorder="1" applyAlignment="1">
      <alignment horizontal="right" vertical="center" shrinkToFit="1"/>
    </xf>
    <xf numFmtId="167" fontId="23" fillId="8" borderId="1" xfId="5" applyNumberFormat="1" applyFont="1" applyFill="1" applyBorder="1" applyAlignment="1" applyProtection="1">
      <alignment horizontal="right" vertical="center"/>
    </xf>
    <xf numFmtId="44" fontId="23" fillId="8" borderId="1" xfId="3" applyFont="1" applyFill="1" applyBorder="1" applyAlignment="1" applyProtection="1">
      <alignment horizontal="left" vertical="center"/>
    </xf>
    <xf numFmtId="4" fontId="0" fillId="4" borderId="0" xfId="0" applyNumberFormat="1" applyFill="1"/>
    <xf numFmtId="0" fontId="26" fillId="3" borderId="9" xfId="0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 shrinkToFit="1"/>
    </xf>
    <xf numFmtId="3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shrinkToFit="1"/>
    </xf>
    <xf numFmtId="4" fontId="26" fillId="3" borderId="1" xfId="0" applyNumberFormat="1" applyFont="1" applyFill="1" applyBorder="1" applyAlignment="1">
      <alignment horizontal="right" vertical="center" shrinkToFit="1"/>
    </xf>
    <xf numFmtId="0" fontId="0" fillId="8" borderId="9" xfId="0" applyFill="1" applyBorder="1" applyAlignment="1">
      <alignment horizontal="left" vertical="center"/>
    </xf>
    <xf numFmtId="44" fontId="31" fillId="8" borderId="1" xfId="3" applyFont="1" applyFill="1" applyBorder="1" applyAlignment="1" applyProtection="1">
      <alignment horizontal="left" vertical="center"/>
    </xf>
    <xf numFmtId="4" fontId="32" fillId="9" borderId="1" xfId="5" applyNumberFormat="1" applyFont="1" applyFill="1" applyBorder="1" applyAlignment="1" applyProtection="1">
      <alignment horizontal="right" vertical="center"/>
    </xf>
    <xf numFmtId="44" fontId="32" fillId="9" borderId="1" xfId="3" applyFont="1" applyFill="1" applyBorder="1" applyAlignment="1" applyProtection="1">
      <alignment horizontal="left" vertical="center"/>
    </xf>
    <xf numFmtId="10" fontId="36" fillId="4" borderId="5" xfId="0" applyNumberFormat="1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4" fontId="26" fillId="4" borderId="5" xfId="5" applyNumberFormat="1" applyFont="1" applyFill="1" applyBorder="1" applyAlignment="1" applyProtection="1">
      <alignment horizontal="right" vertical="center"/>
    </xf>
    <xf numFmtId="4" fontId="26" fillId="4" borderId="0" xfId="5" applyNumberFormat="1" applyFont="1" applyFill="1" applyBorder="1" applyAlignment="1" applyProtection="1">
      <alignment horizontal="right" vertical="center"/>
    </xf>
    <xf numFmtId="0" fontId="0" fillId="3" borderId="9" xfId="0" applyFill="1" applyBorder="1"/>
    <xf numFmtId="0" fontId="0" fillId="3" borderId="10" xfId="0" applyFill="1" applyBorder="1"/>
    <xf numFmtId="2" fontId="31" fillId="3" borderId="2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44" fontId="0" fillId="4" borderId="0" xfId="0" applyNumberFormat="1" applyFill="1"/>
    <xf numFmtId="0" fontId="26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left" vertical="center"/>
    </xf>
    <xf numFmtId="0" fontId="24" fillId="9" borderId="9" xfId="0" applyFont="1" applyFill="1" applyBorder="1" applyAlignment="1">
      <alignment horizontal="left" vertical="center"/>
    </xf>
    <xf numFmtId="0" fontId="0" fillId="4" borderId="0" xfId="0" applyFill="1" applyAlignment="1">
      <alignment horizontal="right"/>
    </xf>
    <xf numFmtId="4" fontId="35" fillId="11" borderId="3" xfId="0" applyNumberFormat="1" applyFont="1" applyFill="1" applyBorder="1" applyAlignment="1">
      <alignment horizontal="center" vertical="center" wrapText="1"/>
    </xf>
    <xf numFmtId="0" fontId="26" fillId="11" borderId="9" xfId="0" quotePrefix="1" applyFont="1" applyFill="1" applyBorder="1" applyAlignment="1">
      <alignment horizontal="center" vertical="center"/>
    </xf>
    <xf numFmtId="169" fontId="26" fillId="11" borderId="1" xfId="0" applyNumberFormat="1" applyFont="1" applyFill="1" applyBorder="1" applyAlignment="1">
      <alignment horizontal="right" vertical="center" shrinkToFit="1"/>
    </xf>
    <xf numFmtId="167" fontId="23" fillId="14" borderId="1" xfId="5" applyNumberFormat="1" applyFont="1" applyFill="1" applyBorder="1" applyAlignment="1" applyProtection="1">
      <alignment horizontal="right" vertical="center"/>
    </xf>
    <xf numFmtId="44" fontId="23" fillId="14" borderId="1" xfId="3" applyFont="1" applyFill="1" applyBorder="1" applyAlignment="1" applyProtection="1">
      <alignment horizontal="left" vertical="center"/>
    </xf>
    <xf numFmtId="4" fontId="26" fillId="11" borderId="1" xfId="0" applyNumberFormat="1" applyFont="1" applyFill="1" applyBorder="1" applyAlignment="1">
      <alignment horizontal="right" vertical="center" shrinkToFit="1"/>
    </xf>
    <xf numFmtId="0" fontId="0" fillId="14" borderId="9" xfId="0" applyFill="1" applyBorder="1" applyAlignment="1">
      <alignment horizontal="left" vertical="center"/>
    </xf>
    <xf numFmtId="44" fontId="31" fillId="14" borderId="1" xfId="3" applyFont="1" applyFill="1" applyBorder="1" applyAlignment="1" applyProtection="1">
      <alignment horizontal="left" vertical="center"/>
    </xf>
    <xf numFmtId="4" fontId="32" fillId="15" borderId="1" xfId="5" applyNumberFormat="1" applyFont="1" applyFill="1" applyBorder="1" applyAlignment="1" applyProtection="1">
      <alignment horizontal="right" vertical="center"/>
    </xf>
    <xf numFmtId="44" fontId="32" fillId="15" borderId="1" xfId="3" applyFont="1" applyFill="1" applyBorder="1" applyAlignment="1" applyProtection="1">
      <alignment horizontal="left" vertical="center"/>
    </xf>
    <xf numFmtId="0" fontId="26" fillId="11" borderId="9" xfId="0" applyFont="1" applyFill="1" applyBorder="1" applyAlignment="1">
      <alignment vertical="center" wrapText="1"/>
    </xf>
    <xf numFmtId="44" fontId="23" fillId="11" borderId="9" xfId="3" applyFont="1" applyFill="1" applyBorder="1" applyAlignment="1" applyProtection="1">
      <alignment horizontal="left" vertical="center"/>
    </xf>
    <xf numFmtId="44" fontId="23" fillId="11" borderId="10" xfId="3" applyFont="1" applyFill="1" applyBorder="1" applyAlignment="1" applyProtection="1">
      <alignment horizontal="left" vertical="center"/>
    </xf>
    <xf numFmtId="0" fontId="0" fillId="11" borderId="9" xfId="0" applyFill="1" applyBorder="1"/>
    <xf numFmtId="0" fontId="0" fillId="11" borderId="10" xfId="0" applyFill="1" applyBorder="1"/>
    <xf numFmtId="2" fontId="31" fillId="11" borderId="2" xfId="0" applyNumberFormat="1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left" vertical="center"/>
    </xf>
    <xf numFmtId="0" fontId="24" fillId="15" borderId="9" xfId="0" applyFont="1" applyFill="1" applyBorder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37" fillId="4" borderId="0" xfId="0" applyFont="1" applyFill="1" applyAlignment="1">
      <alignment horizontal="right" vertical="center"/>
    </xf>
    <xf numFmtId="0" fontId="0" fillId="9" borderId="1" xfId="0" applyFill="1" applyBorder="1" applyAlignment="1">
      <alignment vertical="center"/>
    </xf>
    <xf numFmtId="0" fontId="37" fillId="3" borderId="1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0" fontId="37" fillId="3" borderId="10" xfId="0" applyFont="1" applyFill="1" applyBorder="1" applyAlignment="1">
      <alignment horizontal="right" vertical="center"/>
    </xf>
    <xf numFmtId="0" fontId="31" fillId="8" borderId="1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3" borderId="9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37" fillId="3" borderId="9" xfId="0" applyFont="1" applyFill="1" applyBorder="1" applyAlignment="1">
      <alignment horizontal="right" vertical="center"/>
    </xf>
    <xf numFmtId="4" fontId="31" fillId="8" borderId="1" xfId="0" applyNumberFormat="1" applyFon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3" fontId="31" fillId="8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/>
    </xf>
    <xf numFmtId="0" fontId="31" fillId="8" borderId="1" xfId="0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horizontal="right" vertical="center"/>
    </xf>
    <xf numFmtId="165" fontId="31" fillId="8" borderId="1" xfId="0" applyNumberFormat="1" applyFont="1" applyFill="1" applyBorder="1" applyAlignment="1">
      <alignment vertical="center"/>
    </xf>
    <xf numFmtId="165" fontId="0" fillId="3" borderId="2" xfId="0" applyNumberFormat="1" applyFill="1" applyBorder="1" applyAlignment="1">
      <alignment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31" fillId="8" borderId="10" xfId="0" applyFont="1" applyFill="1" applyBorder="1" applyAlignment="1">
      <alignment horizontal="right" vertical="center"/>
    </xf>
    <xf numFmtId="4" fontId="31" fillId="8" borderId="2" xfId="0" applyNumberFormat="1" applyFont="1" applyFill="1" applyBorder="1" applyAlignment="1">
      <alignment vertical="center"/>
    </xf>
    <xf numFmtId="10" fontId="31" fillId="8" borderId="1" xfId="4" applyNumberFormat="1" applyFont="1" applyFill="1" applyBorder="1" applyAlignment="1" applyProtection="1">
      <alignment vertical="center"/>
    </xf>
    <xf numFmtId="10" fontId="0" fillId="3" borderId="1" xfId="0" applyNumberFormat="1" applyFill="1" applyBorder="1" applyAlignment="1">
      <alignment vertical="center"/>
    </xf>
    <xf numFmtId="0" fontId="24" fillId="9" borderId="9" xfId="0" applyFont="1" applyFill="1" applyBorder="1" applyAlignment="1">
      <alignment horizontal="center" vertical="center"/>
    </xf>
    <xf numFmtId="0" fontId="32" fillId="9" borderId="10" xfId="0" applyFont="1" applyFill="1" applyBorder="1" applyAlignment="1">
      <alignment vertical="center"/>
    </xf>
    <xf numFmtId="0" fontId="38" fillId="9" borderId="1" xfId="0" applyFont="1" applyFill="1" applyBorder="1" applyAlignment="1">
      <alignment horizontal="right" vertical="center"/>
    </xf>
    <xf numFmtId="165" fontId="32" fillId="9" borderId="1" xfId="0" applyNumberFormat="1" applyFont="1" applyFill="1" applyBorder="1" applyAlignment="1">
      <alignment vertical="center"/>
    </xf>
    <xf numFmtId="165" fontId="31" fillId="3" borderId="1" xfId="0" applyNumberFormat="1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1" borderId="9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vertical="center"/>
    </xf>
    <xf numFmtId="0" fontId="0" fillId="11" borderId="10" xfId="0" applyFill="1" applyBorder="1" applyAlignment="1">
      <alignment horizontal="right" vertical="center"/>
    </xf>
    <xf numFmtId="0" fontId="37" fillId="11" borderId="2" xfId="0" applyFont="1" applyFill="1" applyBorder="1" applyAlignment="1">
      <alignment horizontal="right" vertical="center"/>
    </xf>
    <xf numFmtId="0" fontId="31" fillId="14" borderId="1" xfId="0" applyFont="1" applyFill="1" applyBorder="1" applyAlignment="1">
      <alignment horizontal="right" vertical="center" wrapText="1"/>
    </xf>
    <xf numFmtId="0" fontId="37" fillId="11" borderId="1" xfId="0" applyFont="1" applyFill="1" applyBorder="1" applyAlignment="1">
      <alignment horizontal="right" vertical="center"/>
    </xf>
    <xf numFmtId="3" fontId="31" fillId="14" borderId="1" xfId="0" applyNumberFormat="1" applyFont="1" applyFill="1" applyBorder="1" applyAlignment="1">
      <alignment horizontal="right" vertical="center"/>
    </xf>
    <xf numFmtId="3" fontId="0" fillId="4" borderId="2" xfId="0" applyNumberFormat="1" applyFill="1" applyBorder="1" applyAlignment="1">
      <alignment vertical="center"/>
    </xf>
    <xf numFmtId="165" fontId="31" fillId="14" borderId="1" xfId="0" applyNumberFormat="1" applyFont="1" applyFill="1" applyBorder="1" applyAlignment="1">
      <alignment vertical="center"/>
    </xf>
    <xf numFmtId="165" fontId="0" fillId="11" borderId="1" xfId="0" applyNumberFormat="1" applyFill="1" applyBorder="1" applyAlignment="1">
      <alignment vertical="center"/>
    </xf>
    <xf numFmtId="0" fontId="0" fillId="11" borderId="2" xfId="0" applyFill="1" applyBorder="1" applyAlignment="1">
      <alignment horizontal="right" vertical="center"/>
    </xf>
    <xf numFmtId="0" fontId="31" fillId="14" borderId="1" xfId="0" applyFont="1" applyFill="1" applyBorder="1" applyAlignment="1">
      <alignment horizontal="right" vertical="center"/>
    </xf>
    <xf numFmtId="0" fontId="0" fillId="11" borderId="12" xfId="0" applyFill="1" applyBorder="1" applyAlignment="1">
      <alignment vertical="center"/>
    </xf>
    <xf numFmtId="0" fontId="37" fillId="11" borderId="9" xfId="0" applyFont="1" applyFill="1" applyBorder="1" applyAlignment="1">
      <alignment horizontal="right" vertical="center"/>
    </xf>
    <xf numFmtId="165" fontId="0" fillId="11" borderId="2" xfId="0" applyNumberFormat="1" applyFill="1" applyBorder="1" applyAlignment="1">
      <alignment vertical="center"/>
    </xf>
    <xf numFmtId="10" fontId="31" fillId="14" borderId="1" xfId="0" applyNumberFormat="1" applyFont="1" applyFill="1" applyBorder="1" applyAlignment="1">
      <alignment vertical="center"/>
    </xf>
    <xf numFmtId="10" fontId="0" fillId="11" borderId="1" xfId="0" applyNumberFormat="1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31" fillId="14" borderId="10" xfId="0" applyFont="1" applyFill="1" applyBorder="1" applyAlignment="1">
      <alignment horizontal="right" vertical="center"/>
    </xf>
    <xf numFmtId="4" fontId="31" fillId="14" borderId="2" xfId="0" applyNumberFormat="1" applyFont="1" applyFill="1" applyBorder="1" applyAlignment="1">
      <alignment vertical="center"/>
    </xf>
    <xf numFmtId="10" fontId="31" fillId="14" borderId="1" xfId="4" applyNumberFormat="1" applyFont="1" applyFill="1" applyBorder="1" applyAlignment="1" applyProtection="1">
      <alignment vertical="center"/>
    </xf>
    <xf numFmtId="0" fontId="24" fillId="15" borderId="9" xfId="0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vertical="center"/>
    </xf>
    <xf numFmtId="0" fontId="38" fillId="15" borderId="1" xfId="0" applyFont="1" applyFill="1" applyBorder="1" applyAlignment="1">
      <alignment horizontal="right" vertical="center"/>
    </xf>
    <xf numFmtId="165" fontId="32" fillId="15" borderId="1" xfId="0" applyNumberFormat="1" applyFont="1" applyFill="1" applyBorder="1" applyAlignment="1">
      <alignment vertical="center"/>
    </xf>
    <xf numFmtId="165" fontId="31" fillId="11" borderId="1" xfId="0" applyNumberFormat="1" applyFont="1" applyFill="1" applyBorder="1" applyAlignment="1">
      <alignment vertical="center"/>
    </xf>
    <xf numFmtId="166" fontId="0" fillId="4" borderId="0" xfId="0" applyNumberFormat="1" applyFill="1" applyAlignment="1">
      <alignment vertical="center"/>
    </xf>
    <xf numFmtId="44" fontId="23" fillId="11" borderId="9" xfId="3" applyFont="1" applyFill="1" applyBorder="1" applyAlignment="1" applyProtection="1">
      <alignment vertical="center"/>
    </xf>
    <xf numFmtId="44" fontId="23" fillId="11" borderId="2" xfId="3" applyFont="1" applyFill="1" applyBorder="1" applyAlignment="1" applyProtection="1">
      <alignment vertical="center"/>
    </xf>
    <xf numFmtId="0" fontId="39" fillId="3" borderId="9" xfId="0" applyFont="1" applyFill="1" applyBorder="1" applyAlignment="1">
      <alignment horizontal="right" vertical="center"/>
    </xf>
    <xf numFmtId="4" fontId="31" fillId="14" borderId="1" xfId="0" applyNumberFormat="1" applyFont="1" applyFill="1" applyBorder="1" applyAlignment="1">
      <alignment horizontal="right" vertical="center"/>
    </xf>
    <xf numFmtId="0" fontId="0" fillId="15" borderId="9" xfId="0" applyFill="1" applyBorder="1" applyAlignment="1">
      <alignment horizontal="center" vertical="center"/>
    </xf>
    <xf numFmtId="0" fontId="0" fillId="11" borderId="2" xfId="0" applyFill="1" applyBorder="1" applyAlignment="1">
      <alignment horizontal="right"/>
    </xf>
    <xf numFmtId="0" fontId="26" fillId="3" borderId="2" xfId="0" applyFont="1" applyFill="1" applyBorder="1" applyAlignment="1">
      <alignment vertical="center"/>
    </xf>
    <xf numFmtId="0" fontId="40" fillId="3" borderId="1" xfId="0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0" fillId="3" borderId="2" xfId="0" applyFont="1" applyFill="1" applyBorder="1" applyAlignment="1">
      <alignment horizontal="right" vertical="center"/>
    </xf>
    <xf numFmtId="4" fontId="26" fillId="4" borderId="1" xfId="0" applyNumberFormat="1" applyFont="1" applyFill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4" borderId="1" xfId="0" applyNumberFormat="1" applyFont="1" applyFill="1" applyBorder="1" applyAlignment="1">
      <alignment vertical="center"/>
    </xf>
    <xf numFmtId="0" fontId="26" fillId="3" borderId="10" xfId="0" applyFont="1" applyFill="1" applyBorder="1" applyAlignment="1">
      <alignment vertical="center"/>
    </xf>
    <xf numFmtId="10" fontId="26" fillId="4" borderId="1" xfId="0" applyNumberFormat="1" applyFont="1" applyFill="1" applyBorder="1" applyAlignment="1">
      <alignment vertical="center"/>
    </xf>
    <xf numFmtId="4" fontId="27" fillId="3" borderId="1" xfId="0" applyNumberFormat="1" applyFont="1" applyFill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0" fontId="0" fillId="3" borderId="2" xfId="0" applyFill="1" applyBorder="1" applyAlignment="1">
      <alignment horizontal="right" vertical="center" wrapText="1"/>
    </xf>
    <xf numFmtId="4" fontId="26" fillId="8" borderId="1" xfId="0" applyNumberFormat="1" applyFont="1" applyFill="1" applyBorder="1" applyAlignment="1">
      <alignment vertical="center"/>
    </xf>
    <xf numFmtId="0" fontId="26" fillId="3" borderId="1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horizontal="right" vertical="center"/>
    </xf>
    <xf numFmtId="3" fontId="26" fillId="8" borderId="1" xfId="0" applyNumberFormat="1" applyFont="1" applyFill="1" applyBorder="1" applyAlignment="1">
      <alignment vertical="center"/>
    </xf>
    <xf numFmtId="4" fontId="27" fillId="4" borderId="1" xfId="0" applyNumberFormat="1" applyFont="1" applyFill="1" applyBorder="1" applyAlignment="1">
      <alignment vertical="center"/>
    </xf>
    <xf numFmtId="0" fontId="35" fillId="3" borderId="2" xfId="0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right" vertical="center"/>
    </xf>
    <xf numFmtId="0" fontId="27" fillId="0" borderId="3" xfId="0" applyFont="1" applyBorder="1" applyAlignment="1">
      <alignment vertical="center"/>
    </xf>
    <xf numFmtId="0" fontId="0" fillId="3" borderId="10" xfId="0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42" fillId="3" borderId="10" xfId="0" applyFont="1" applyFill="1" applyBorder="1" applyAlignment="1">
      <alignment horizontal="right" vertical="center" wrapText="1"/>
    </xf>
    <xf numFmtId="0" fontId="42" fillId="3" borderId="2" xfId="0" applyFont="1" applyFill="1" applyBorder="1" applyAlignment="1">
      <alignment horizontal="right" vertical="center" wrapText="1"/>
    </xf>
    <xf numFmtId="0" fontId="26" fillId="8" borderId="1" xfId="0" applyFont="1" applyFill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11" borderId="9" xfId="0" applyFill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40" fillId="11" borderId="1" xfId="0" applyFont="1" applyFill="1" applyBorder="1" applyAlignment="1">
      <alignment horizontal="right" vertical="center"/>
    </xf>
    <xf numFmtId="0" fontId="0" fillId="11" borderId="2" xfId="0" applyFill="1" applyBorder="1" applyAlignment="1">
      <alignment vertical="center"/>
    </xf>
    <xf numFmtId="0" fontId="40" fillId="11" borderId="2" xfId="0" applyFont="1" applyFill="1" applyBorder="1" applyAlignment="1">
      <alignment horizontal="right" vertical="center"/>
    </xf>
    <xf numFmtId="0" fontId="26" fillId="11" borderId="10" xfId="0" applyFont="1" applyFill="1" applyBorder="1" applyAlignment="1">
      <alignment vertical="center"/>
    </xf>
    <xf numFmtId="4" fontId="27" fillId="11" borderId="1" xfId="0" applyNumberFormat="1" applyFont="1" applyFill="1" applyBorder="1" applyAlignment="1">
      <alignment vertical="center"/>
    </xf>
    <xf numFmtId="0" fontId="0" fillId="11" borderId="10" xfId="0" applyFill="1" applyBorder="1" applyAlignment="1">
      <alignment horizontal="left" vertical="center"/>
    </xf>
    <xf numFmtId="0" fontId="0" fillId="11" borderId="10" xfId="0" applyFill="1" applyBorder="1" applyAlignment="1">
      <alignment horizontal="right" vertical="center" wrapText="1"/>
    </xf>
    <xf numFmtId="0" fontId="0" fillId="11" borderId="2" xfId="0" applyFill="1" applyBorder="1" applyAlignment="1">
      <alignment horizontal="right" vertical="center" wrapText="1"/>
    </xf>
    <xf numFmtId="4" fontId="26" fillId="14" borderId="1" xfId="0" applyNumberFormat="1" applyFont="1" applyFill="1" applyBorder="1" applyAlignment="1">
      <alignment vertical="center"/>
    </xf>
    <xf numFmtId="0" fontId="40" fillId="11" borderId="3" xfId="0" applyFont="1" applyFill="1" applyBorder="1" applyAlignment="1">
      <alignment horizontal="right" vertical="center"/>
    </xf>
    <xf numFmtId="0" fontId="26" fillId="11" borderId="10" xfId="0" applyFont="1" applyFill="1" applyBorder="1" applyAlignment="1">
      <alignment horizontal="right" vertical="center"/>
    </xf>
    <xf numFmtId="0" fontId="26" fillId="11" borderId="2" xfId="0" applyFont="1" applyFill="1" applyBorder="1" applyAlignment="1">
      <alignment horizontal="right" vertical="center"/>
    </xf>
    <xf numFmtId="3" fontId="26" fillId="14" borderId="1" xfId="0" applyNumberFormat="1" applyFont="1" applyFill="1" applyBorder="1" applyAlignment="1">
      <alignment vertical="center"/>
    </xf>
    <xf numFmtId="0" fontId="35" fillId="11" borderId="2" xfId="0" applyFont="1" applyFill="1" applyBorder="1" applyAlignment="1">
      <alignment horizontal="right" vertical="center"/>
    </xf>
    <xf numFmtId="0" fontId="41" fillId="11" borderId="1" xfId="0" applyFont="1" applyFill="1" applyBorder="1" applyAlignment="1">
      <alignment horizontal="right" vertical="center"/>
    </xf>
    <xf numFmtId="0" fontId="27" fillId="11" borderId="2" xfId="0" applyFont="1" applyFill="1" applyBorder="1" applyAlignment="1">
      <alignment horizontal="right" vertical="center"/>
    </xf>
    <xf numFmtId="0" fontId="42" fillId="11" borderId="10" xfId="0" applyFont="1" applyFill="1" applyBorder="1" applyAlignment="1">
      <alignment horizontal="right" vertical="center" wrapText="1"/>
    </xf>
    <xf numFmtId="0" fontId="42" fillId="11" borderId="2" xfId="0" applyFont="1" applyFill="1" applyBorder="1" applyAlignment="1">
      <alignment horizontal="right" vertical="center" wrapText="1"/>
    </xf>
    <xf numFmtId="0" fontId="26" fillId="14" borderId="1" xfId="0" applyFont="1" applyFill="1" applyBorder="1" applyAlignment="1">
      <alignment vertical="center"/>
    </xf>
    <xf numFmtId="0" fontId="0" fillId="11" borderId="5" xfId="0" applyFill="1" applyBorder="1" applyAlignment="1">
      <alignment horizontal="right" vertical="center"/>
    </xf>
    <xf numFmtId="10" fontId="31" fillId="3" borderId="1" xfId="4" applyNumberFormat="1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7" fillId="3" borderId="10" xfId="0" applyFont="1" applyFill="1" applyBorder="1" applyAlignment="1" applyProtection="1">
      <alignment horizontal="center" vertical="center"/>
      <protection locked="0"/>
    </xf>
    <xf numFmtId="0" fontId="31" fillId="8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 wrapText="1"/>
    </xf>
    <xf numFmtId="2" fontId="31" fillId="3" borderId="1" xfId="4" applyNumberFormat="1" applyFont="1" applyFill="1" applyBorder="1" applyAlignment="1" applyProtection="1">
      <alignment horizontal="center"/>
    </xf>
    <xf numFmtId="4" fontId="31" fillId="8" borderId="2" xfId="0" applyNumberFormat="1" applyFont="1" applyFill="1" applyBorder="1" applyAlignment="1" applyProtection="1">
      <alignment vertical="center"/>
      <protection locked="0"/>
    </xf>
    <xf numFmtId="171" fontId="29" fillId="4" borderId="1" xfId="3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vertical="center" wrapText="1"/>
    </xf>
    <xf numFmtId="0" fontId="43" fillId="3" borderId="1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vertical="center" wrapText="1"/>
    </xf>
    <xf numFmtId="171" fontId="28" fillId="3" borderId="1" xfId="3" applyNumberFormat="1" applyFont="1" applyFill="1" applyBorder="1" applyAlignment="1" applyProtection="1">
      <alignment horizontal="right"/>
    </xf>
    <xf numFmtId="4" fontId="26" fillId="12" borderId="1" xfId="5" applyNumberFormat="1" applyFont="1" applyFill="1" applyBorder="1" applyAlignment="1" applyProtection="1"/>
    <xf numFmtId="44" fontId="26" fillId="12" borderId="1" xfId="3" applyFont="1" applyFill="1" applyBorder="1" applyAlignment="1" applyProtection="1">
      <alignment horizontal="left"/>
    </xf>
    <xf numFmtId="4" fontId="26" fillId="12" borderId="1" xfId="5" applyNumberFormat="1" applyFont="1" applyFill="1" applyBorder="1" applyAlignment="1" applyProtection="1">
      <alignment horizontal="right"/>
    </xf>
    <xf numFmtId="2" fontId="26" fillId="12" borderId="1" xfId="5" applyNumberFormat="1" applyFont="1" applyFill="1" applyBorder="1" applyAlignment="1" applyProtection="1">
      <alignment horizontal="right"/>
    </xf>
    <xf numFmtId="0" fontId="26" fillId="12" borderId="1" xfId="5" applyNumberFormat="1" applyFont="1" applyFill="1" applyBorder="1" applyAlignment="1" applyProtection="1">
      <alignment horizontal="right"/>
    </xf>
    <xf numFmtId="1" fontId="26" fillId="3" borderId="7" xfId="5" applyNumberFormat="1" applyFont="1" applyFill="1" applyBorder="1" applyAlignment="1" applyProtection="1"/>
    <xf numFmtId="1" fontId="26" fillId="3" borderId="0" xfId="5" applyNumberFormat="1" applyFont="1" applyFill="1" applyBorder="1" applyAlignment="1" applyProtection="1"/>
    <xf numFmtId="4" fontId="26" fillId="3" borderId="0" xfId="5" applyNumberFormat="1" applyFont="1" applyFill="1" applyBorder="1" applyAlignment="1" applyProtection="1">
      <alignment horizontal="center" wrapText="1"/>
    </xf>
    <xf numFmtId="10" fontId="26" fillId="3" borderId="0" xfId="5" applyNumberFormat="1" applyFont="1" applyFill="1" applyBorder="1" applyAlignment="1" applyProtection="1">
      <alignment horizontal="center"/>
    </xf>
    <xf numFmtId="4" fontId="26" fillId="3" borderId="8" xfId="5" applyNumberFormat="1" applyFont="1" applyFill="1" applyBorder="1" applyAlignment="1" applyProtection="1">
      <alignment wrapText="1"/>
    </xf>
    <xf numFmtId="1" fontId="26" fillId="3" borderId="11" xfId="5" applyNumberFormat="1" applyFont="1" applyFill="1" applyBorder="1" applyAlignment="1" applyProtection="1"/>
    <xf numFmtId="1" fontId="26" fillId="3" borderId="12" xfId="5" applyNumberFormat="1" applyFont="1" applyFill="1" applyBorder="1" applyAlignment="1" applyProtection="1"/>
    <xf numFmtId="4" fontId="26" fillId="3" borderId="0" xfId="5" applyNumberFormat="1" applyFont="1" applyFill="1" applyBorder="1" applyAlignment="1" applyProtection="1">
      <alignment horizontal="left"/>
    </xf>
    <xf numFmtId="4" fontId="26" fillId="3" borderId="8" xfId="5" applyNumberFormat="1" applyFont="1" applyFill="1" applyBorder="1" applyAlignment="1" applyProtection="1">
      <alignment horizontal="left"/>
    </xf>
    <xf numFmtId="1" fontId="26" fillId="3" borderId="0" xfId="5" applyNumberFormat="1" applyFont="1" applyFill="1" applyBorder="1" applyAlignment="1" applyProtection="1">
      <alignment horizontal="left"/>
    </xf>
    <xf numFmtId="0" fontId="32" fillId="9" borderId="7" xfId="0" applyFont="1" applyFill="1" applyBorder="1" applyAlignment="1">
      <alignment vertical="center"/>
    </xf>
    <xf numFmtId="2" fontId="0" fillId="4" borderId="0" xfId="0" applyNumberFormat="1" applyFill="1" applyAlignment="1">
      <alignment horizontal="center"/>
    </xf>
    <xf numFmtId="2" fontId="31" fillId="4" borderId="0" xfId="0" applyNumberFormat="1" applyFont="1" applyFill="1" applyAlignment="1">
      <alignment horizontal="center"/>
    </xf>
    <xf numFmtId="10" fontId="44" fillId="4" borderId="8" xfId="0" applyNumberFormat="1" applyFont="1" applyFill="1" applyBorder="1" applyAlignment="1">
      <alignment horizontal="center" vertical="center"/>
    </xf>
    <xf numFmtId="2" fontId="31" fillId="4" borderId="2" xfId="0" applyNumberFormat="1" applyFont="1" applyFill="1" applyBorder="1" applyAlignment="1">
      <alignment horizontal="center"/>
    </xf>
    <xf numFmtId="3" fontId="0" fillId="12" borderId="10" xfId="0" quotePrefix="1" applyNumberFormat="1" applyFill="1" applyBorder="1" applyAlignment="1">
      <alignment horizontal="right"/>
    </xf>
    <xf numFmtId="0" fontId="0" fillId="12" borderId="10" xfId="0" applyFill="1" applyBorder="1" applyAlignment="1">
      <alignment horizontal="center"/>
    </xf>
    <xf numFmtId="0" fontId="33" fillId="3" borderId="10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0" fillId="12" borderId="14" xfId="0" applyFill="1" applyBorder="1"/>
    <xf numFmtId="0" fontId="0" fillId="12" borderId="15" xfId="0" applyFill="1" applyBorder="1"/>
    <xf numFmtId="0" fontId="0" fillId="12" borderId="3" xfId="0" applyFill="1" applyBorder="1"/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171" fontId="28" fillId="4" borderId="1" xfId="3" applyNumberFormat="1" applyFont="1" applyFill="1" applyBorder="1" applyAlignment="1" applyProtection="1">
      <alignment horizontal="right"/>
    </xf>
    <xf numFmtId="0" fontId="31" fillId="12" borderId="9" xfId="0" applyFont="1" applyFill="1" applyBorder="1" applyAlignment="1">
      <alignment vertical="center"/>
    </xf>
    <xf numFmtId="0" fontId="31" fillId="12" borderId="10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/>
    </xf>
    <xf numFmtId="44" fontId="24" fillId="4" borderId="0" xfId="0" applyNumberFormat="1" applyFont="1" applyFill="1"/>
    <xf numFmtId="0" fontId="31" fillId="4" borderId="0" xfId="0" applyFont="1" applyFill="1" applyAlignment="1">
      <alignment horizontal="left" vertical="center" wrapText="1"/>
    </xf>
    <xf numFmtId="171" fontId="28" fillId="4" borderId="5" xfId="3" applyNumberFormat="1" applyFont="1" applyFill="1" applyBorder="1" applyAlignment="1" applyProtection="1">
      <alignment horizontal="right"/>
    </xf>
    <xf numFmtId="171" fontId="28" fillId="4" borderId="0" xfId="3" applyNumberFormat="1" applyFont="1" applyFill="1" applyBorder="1" applyAlignment="1" applyProtection="1">
      <alignment horizontal="right"/>
    </xf>
    <xf numFmtId="0" fontId="47" fillId="4" borderId="0" xfId="0" applyFont="1" applyFill="1" applyAlignment="1">
      <alignment horizontal="center" vertical="center"/>
    </xf>
    <xf numFmtId="0" fontId="48" fillId="4" borderId="0" xfId="0" applyFont="1" applyFill="1"/>
    <xf numFmtId="171" fontId="29" fillId="4" borderId="1" xfId="3" applyNumberFormat="1" applyFont="1" applyFill="1" applyBorder="1" applyAlignment="1" applyProtection="1">
      <alignment horizontal="right"/>
    </xf>
    <xf numFmtId="4" fontId="49" fillId="3" borderId="0" xfId="5" applyNumberFormat="1" applyFont="1" applyFill="1" applyBorder="1" applyAlignment="1" applyProtection="1">
      <alignment horizontal="left"/>
    </xf>
    <xf numFmtId="44" fontId="31" fillId="8" borderId="1" xfId="0" applyNumberFormat="1" applyFont="1" applyFill="1" applyBorder="1"/>
    <xf numFmtId="3" fontId="0" fillId="3" borderId="1" xfId="0" applyNumberFormat="1" applyFill="1" applyBorder="1" applyAlignment="1">
      <alignment horizontal="right"/>
    </xf>
    <xf numFmtId="0" fontId="31" fillId="0" borderId="0" xfId="0" applyFont="1"/>
    <xf numFmtId="2" fontId="0" fillId="0" borderId="0" xfId="0" applyNumberFormat="1" applyAlignment="1">
      <alignment horizontal="center"/>
    </xf>
    <xf numFmtId="0" fontId="0" fillId="6" borderId="0" xfId="0" applyFill="1" applyProtection="1">
      <protection locked="0"/>
    </xf>
    <xf numFmtId="0" fontId="0" fillId="18" borderId="0" xfId="0" applyFill="1"/>
    <xf numFmtId="0" fontId="0" fillId="4" borderId="0" xfId="0" applyFill="1" applyAlignment="1">
      <alignment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31" fillId="8" borderId="2" xfId="0" applyFont="1" applyFill="1" applyBorder="1" applyAlignment="1">
      <alignment horizontal="center" vertical="center"/>
    </xf>
    <xf numFmtId="0" fontId="0" fillId="3" borderId="2" xfId="0" applyFill="1" applyBorder="1"/>
    <xf numFmtId="165" fontId="0" fillId="3" borderId="9" xfId="0" applyNumberFormat="1" applyFill="1" applyBorder="1"/>
    <xf numFmtId="0" fontId="0" fillId="4" borderId="0" xfId="0" applyFill="1" applyAlignment="1" applyProtection="1">
      <alignment horizontal="left"/>
      <protection locked="0"/>
    </xf>
    <xf numFmtId="43" fontId="23" fillId="4" borderId="3" xfId="5" applyFont="1" applyFill="1" applyBorder="1" applyAlignment="1" applyProtection="1">
      <alignment horizontal="right"/>
      <protection locked="0"/>
    </xf>
    <xf numFmtId="0" fontId="51" fillId="20" borderId="20" xfId="0" applyFont="1" applyFill="1" applyBorder="1" applyAlignment="1">
      <alignment horizontal="left" vertical="center" wrapText="1" indent="1"/>
    </xf>
    <xf numFmtId="0" fontId="53" fillId="20" borderId="21" xfId="0" applyFont="1" applyFill="1" applyBorder="1" applyAlignment="1">
      <alignment horizontal="left" vertical="center" wrapText="1" indent="1"/>
    </xf>
    <xf numFmtId="0" fontId="53" fillId="20" borderId="16" xfId="0" applyFont="1" applyFill="1" applyBorder="1" applyAlignment="1">
      <alignment horizontal="center" vertical="center" wrapText="1"/>
    </xf>
    <xf numFmtId="0" fontId="54" fillId="20" borderId="21" xfId="0" applyFont="1" applyFill="1" applyBorder="1" applyAlignment="1">
      <alignment horizontal="left" vertical="center" wrapText="1" indent="1"/>
    </xf>
    <xf numFmtId="0" fontId="51" fillId="0" borderId="21" xfId="0" applyFont="1" applyBorder="1" applyAlignment="1">
      <alignment horizontal="left" vertical="center" wrapText="1" indent="1"/>
    </xf>
    <xf numFmtId="0" fontId="51" fillId="0" borderId="16" xfId="0" applyFont="1" applyBorder="1" applyAlignment="1">
      <alignment horizontal="center" vertical="center" wrapText="1"/>
    </xf>
    <xf numFmtId="0" fontId="53" fillId="20" borderId="21" xfId="0" applyFont="1" applyFill="1" applyBorder="1" applyAlignment="1">
      <alignment horizontal="justify" vertical="center" wrapText="1"/>
    </xf>
    <xf numFmtId="0" fontId="55" fillId="20" borderId="23" xfId="0" applyFont="1" applyFill="1" applyBorder="1" applyAlignment="1">
      <alignment horizontal="center" vertical="center" wrapText="1"/>
    </xf>
    <xf numFmtId="0" fontId="55" fillId="20" borderId="16" xfId="0" applyFont="1" applyFill="1" applyBorder="1" applyAlignment="1">
      <alignment horizontal="center" vertical="center" wrapText="1"/>
    </xf>
    <xf numFmtId="0" fontId="55" fillId="20" borderId="21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justify" vertical="center"/>
    </xf>
    <xf numFmtId="0" fontId="0" fillId="21" borderId="0" xfId="0" applyFill="1"/>
    <xf numFmtId="0" fontId="0" fillId="21" borderId="0" xfId="0" applyFill="1" applyAlignment="1">
      <alignment vertical="center"/>
    </xf>
    <xf numFmtId="44" fontId="57" fillId="20" borderId="16" xfId="0" applyNumberFormat="1" applyFont="1" applyFill="1" applyBorder="1" applyAlignment="1">
      <alignment horizontal="center" vertical="center" wrapText="1"/>
    </xf>
    <xf numFmtId="0" fontId="56" fillId="21" borderId="0" xfId="0" applyFont="1" applyFill="1" applyAlignment="1">
      <alignment horizontal="justify" vertical="center"/>
    </xf>
    <xf numFmtId="44" fontId="57" fillId="0" borderId="16" xfId="0" applyNumberFormat="1" applyFont="1" applyBorder="1" applyAlignment="1">
      <alignment horizontal="center" vertical="center" wrapText="1"/>
    </xf>
    <xf numFmtId="44" fontId="58" fillId="20" borderId="16" xfId="0" applyNumberFormat="1" applyFont="1" applyFill="1" applyBorder="1" applyAlignment="1">
      <alignment horizontal="center" vertical="center" wrapText="1"/>
    </xf>
    <xf numFmtId="172" fontId="0" fillId="4" borderId="1" xfId="0" applyNumberFormat="1" applyFill="1" applyBorder="1" applyAlignment="1" applyProtection="1">
      <alignment horizontal="left"/>
      <protection locked="0"/>
    </xf>
    <xf numFmtId="2" fontId="0" fillId="3" borderId="9" xfId="0" applyNumberFormat="1" applyFill="1" applyBorder="1"/>
    <xf numFmtId="173" fontId="29" fillId="7" borderId="0" xfId="4" applyNumberFormat="1" applyFont="1" applyFill="1" applyAlignment="1" applyProtection="1">
      <alignment horizontal="right"/>
      <protection locked="0"/>
    </xf>
    <xf numFmtId="173" fontId="29" fillId="4" borderId="0" xfId="4" applyNumberFormat="1" applyFont="1" applyFill="1" applyAlignment="1" applyProtection="1">
      <alignment horizontal="center"/>
      <protection locked="0"/>
    </xf>
    <xf numFmtId="173" fontId="29" fillId="4" borderId="0" xfId="4" applyNumberFormat="1" applyFont="1" applyFill="1" applyAlignment="1">
      <alignment horizontal="center"/>
    </xf>
    <xf numFmtId="1" fontId="26" fillId="3" borderId="38" xfId="5" applyNumberFormat="1" applyFont="1" applyFill="1" applyBorder="1" applyAlignment="1" applyProtection="1"/>
    <xf numFmtId="0" fontId="0" fillId="3" borderId="0" xfId="0" applyFill="1" applyAlignment="1">
      <alignment horizontal="center" wrapText="1"/>
    </xf>
    <xf numFmtId="4" fontId="26" fillId="3" borderId="39" xfId="5" applyNumberFormat="1" applyFont="1" applyFill="1" applyBorder="1" applyAlignment="1" applyProtection="1">
      <alignment wrapText="1"/>
    </xf>
    <xf numFmtId="4" fontId="26" fillId="3" borderId="8" xfId="5" applyNumberFormat="1" applyFont="1" applyFill="1" applyBorder="1" applyAlignment="1" applyProtection="1">
      <alignment horizontal="center" wrapText="1"/>
    </xf>
    <xf numFmtId="1" fontId="26" fillId="3" borderId="8" xfId="5" applyNumberFormat="1" applyFont="1" applyFill="1" applyBorder="1" applyAlignment="1" applyProtection="1">
      <alignment wrapText="1"/>
    </xf>
    <xf numFmtId="4" fontId="49" fillId="3" borderId="8" xfId="5" applyNumberFormat="1" applyFont="1" applyFill="1" applyBorder="1" applyAlignment="1" applyProtection="1">
      <alignment horizontal="left" wrapText="1"/>
    </xf>
    <xf numFmtId="4" fontId="49" fillId="3" borderId="8" xfId="5" applyNumberFormat="1" applyFont="1" applyFill="1" applyBorder="1" applyAlignment="1" applyProtection="1">
      <alignment horizontal="left"/>
    </xf>
    <xf numFmtId="4" fontId="59" fillId="3" borderId="0" xfId="5" applyNumberFormat="1" applyFont="1" applyFill="1" applyBorder="1" applyAlignment="1" applyProtection="1">
      <alignment horizontal="left"/>
    </xf>
    <xf numFmtId="4" fontId="49" fillId="3" borderId="13" xfId="5" applyNumberFormat="1" applyFont="1" applyFill="1" applyBorder="1" applyAlignment="1" applyProtection="1">
      <alignment horizontal="left"/>
    </xf>
    <xf numFmtId="44" fontId="26" fillId="12" borderId="1" xfId="3" applyFont="1" applyFill="1" applyBorder="1" applyAlignment="1" applyProtection="1">
      <alignment horizontal="center"/>
    </xf>
    <xf numFmtId="1" fontId="26" fillId="3" borderId="0" xfId="5" applyNumberFormat="1" applyFont="1" applyFill="1" applyBorder="1" applyAlignment="1" applyProtection="1">
      <alignment horizontal="right"/>
    </xf>
    <xf numFmtId="49" fontId="0" fillId="3" borderId="0" xfId="0" applyNumberFormat="1" applyFill="1"/>
    <xf numFmtId="0" fontId="0" fillId="4" borderId="40" xfId="0" applyFill="1" applyBorder="1"/>
    <xf numFmtId="4" fontId="59" fillId="3" borderId="41" xfId="5" applyNumberFormat="1" applyFont="1" applyFill="1" applyBorder="1" applyAlignment="1" applyProtection="1">
      <alignment horizontal="left"/>
    </xf>
    <xf numFmtId="44" fontId="0" fillId="4" borderId="1" xfId="3" applyFont="1" applyFill="1" applyBorder="1" applyAlignment="1" applyProtection="1">
      <alignment horizontal="left"/>
      <protection locked="0"/>
    </xf>
    <xf numFmtId="44" fontId="0" fillId="0" borderId="1" xfId="3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vertical="center"/>
    </xf>
    <xf numFmtId="2" fontId="40" fillId="3" borderId="1" xfId="0" applyNumberFormat="1" applyFont="1" applyFill="1" applyBorder="1" applyAlignment="1">
      <alignment horizontal="right" vertical="center"/>
    </xf>
    <xf numFmtId="2" fontId="40" fillId="3" borderId="14" xfId="0" applyNumberFormat="1" applyFont="1" applyFill="1" applyBorder="1" applyAlignment="1">
      <alignment horizontal="right" vertical="center"/>
    </xf>
    <xf numFmtId="2" fontId="40" fillId="3" borderId="15" xfId="0" applyNumberFormat="1" applyFont="1" applyFill="1" applyBorder="1" applyAlignment="1">
      <alignment horizontal="right" vertical="center"/>
    </xf>
    <xf numFmtId="165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165" fontId="0" fillId="3" borderId="9" xfId="0" applyNumberFormat="1" applyFill="1" applyBorder="1" applyAlignment="1">
      <alignment horizontal="right"/>
    </xf>
    <xf numFmtId="9" fontId="0" fillId="3" borderId="9" xfId="4" applyFont="1" applyFill="1" applyBorder="1" applyAlignment="1" applyProtection="1">
      <alignment horizontal="right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174" fontId="0" fillId="0" borderId="0" xfId="0" applyNumberFormat="1" applyAlignment="1">
      <alignment horizontal="left" vertical="top"/>
    </xf>
    <xf numFmtId="174" fontId="0" fillId="0" borderId="0" xfId="0" applyNumberFormat="1"/>
    <xf numFmtId="0" fontId="69" fillId="0" borderId="41" xfId="0" applyFont="1" applyBorder="1" applyAlignment="1">
      <alignment horizontal="left" vertical="top"/>
    </xf>
    <xf numFmtId="174" fontId="69" fillId="0" borderId="41" xfId="0" applyNumberFormat="1" applyFont="1" applyBorder="1" applyAlignment="1">
      <alignment horizontal="left" vertical="top"/>
    </xf>
    <xf numFmtId="174" fontId="1" fillId="0" borderId="0" xfId="0" applyNumberFormat="1" applyFont="1" applyAlignment="1">
      <alignment vertical="top" wrapText="1"/>
    </xf>
    <xf numFmtId="174" fontId="0" fillId="0" borderId="0" xfId="0" applyNumberFormat="1" applyAlignment="1">
      <alignment horizontal="center"/>
    </xf>
    <xf numFmtId="174" fontId="0" fillId="0" borderId="0" xfId="5" applyNumberFormat="1" applyFont="1" applyAlignment="1">
      <alignment horizontal="center"/>
    </xf>
    <xf numFmtId="0" fontId="31" fillId="0" borderId="43" xfId="0" applyFont="1" applyBorder="1"/>
    <xf numFmtId="43" fontId="0" fillId="0" borderId="0" xfId="5" applyFont="1" applyAlignment="1">
      <alignment horizontal="center"/>
    </xf>
    <xf numFmtId="43" fontId="31" fillId="0" borderId="0" xfId="5" applyFont="1"/>
    <xf numFmtId="43" fontId="0" fillId="0" borderId="0" xfId="5" applyFont="1"/>
    <xf numFmtId="2" fontId="0" fillId="3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/>
    </xf>
    <xf numFmtId="175" fontId="23" fillId="4" borderId="1" xfId="5" applyNumberFormat="1" applyFont="1" applyFill="1" applyBorder="1" applyAlignment="1" applyProtection="1">
      <alignment horizontal="left"/>
      <protection locked="0"/>
    </xf>
    <xf numFmtId="44" fontId="31" fillId="3" borderId="2" xfId="3" applyFont="1" applyFill="1" applyBorder="1" applyAlignment="1">
      <alignment horizontal="center"/>
    </xf>
    <xf numFmtId="176" fontId="31" fillId="3" borderId="2" xfId="3" applyNumberFormat="1" applyFont="1" applyFill="1" applyBorder="1" applyAlignment="1">
      <alignment horizontal="center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right"/>
    </xf>
    <xf numFmtId="0" fontId="73" fillId="4" borderId="0" xfId="0" applyFont="1" applyFill="1" applyProtection="1">
      <protection locked="0"/>
    </xf>
    <xf numFmtId="0" fontId="73" fillId="4" borderId="0" xfId="0" applyFont="1" applyFill="1" applyAlignment="1" applyProtection="1">
      <alignment horizontal="right"/>
      <protection locked="0"/>
    </xf>
    <xf numFmtId="0" fontId="30" fillId="4" borderId="0" xfId="0" applyFont="1" applyFill="1" applyProtection="1">
      <protection locked="0"/>
    </xf>
    <xf numFmtId="10" fontId="30" fillId="4" borderId="0" xfId="0" applyNumberFormat="1" applyFont="1" applyFill="1" applyAlignment="1" applyProtection="1">
      <alignment horizontal="left"/>
      <protection locked="0"/>
    </xf>
    <xf numFmtId="2" fontId="30" fillId="4" borderId="0" xfId="0" applyNumberFormat="1" applyFont="1" applyFill="1" applyProtection="1">
      <protection locked="0"/>
    </xf>
    <xf numFmtId="10" fontId="30" fillId="4" borderId="0" xfId="0" applyNumberFormat="1" applyFont="1" applyFill="1" applyAlignment="1" applyProtection="1">
      <alignment horizontal="right"/>
      <protection locked="0"/>
    </xf>
    <xf numFmtId="0" fontId="30" fillId="4" borderId="0" xfId="3" applyNumberFormat="1" applyFont="1" applyFill="1" applyAlignment="1" applyProtection="1">
      <alignment horizontal="center"/>
      <protection locked="0"/>
    </xf>
    <xf numFmtId="44" fontId="30" fillId="4" borderId="0" xfId="3" applyFont="1" applyFill="1" applyProtection="1">
      <protection locked="0"/>
    </xf>
    <xf numFmtId="44" fontId="30" fillId="4" borderId="0" xfId="3" applyFont="1" applyFill="1" applyAlignment="1" applyProtection="1">
      <alignment horizontal="left"/>
      <protection locked="0"/>
    </xf>
    <xf numFmtId="4" fontId="30" fillId="4" borderId="0" xfId="3" applyNumberFormat="1" applyFont="1" applyFill="1" applyAlignment="1" applyProtection="1">
      <alignment horizontal="right"/>
      <protection locked="0"/>
    </xf>
    <xf numFmtId="166" fontId="30" fillId="4" borderId="0" xfId="3" applyNumberFormat="1" applyFont="1" applyFill="1" applyAlignment="1" applyProtection="1">
      <alignment horizontal="right"/>
      <protection locked="0"/>
    </xf>
    <xf numFmtId="4" fontId="30" fillId="4" borderId="0" xfId="0" applyNumberFormat="1" applyFont="1" applyFill="1" applyProtection="1">
      <protection locked="0"/>
    </xf>
    <xf numFmtId="0" fontId="30" fillId="4" borderId="0" xfId="0" applyFont="1" applyFill="1" applyAlignment="1" applyProtection="1">
      <alignment horizontal="right"/>
      <protection locked="0"/>
    </xf>
    <xf numFmtId="0" fontId="30" fillId="4" borderId="0" xfId="0" applyFont="1" applyFill="1" applyAlignment="1" applyProtection="1">
      <alignment horizontal="left"/>
      <protection locked="0"/>
    </xf>
    <xf numFmtId="44" fontId="30" fillId="4" borderId="0" xfId="0" applyNumberFormat="1" applyFont="1" applyFill="1" applyProtection="1">
      <protection locked="0"/>
    </xf>
    <xf numFmtId="44" fontId="0" fillId="0" borderId="1" xfId="3" quotePrefix="1" applyFont="1" applyFill="1" applyBorder="1" applyAlignment="1" applyProtection="1">
      <alignment horizontal="left" vertical="center"/>
      <protection locked="0"/>
    </xf>
    <xf numFmtId="0" fontId="31" fillId="25" borderId="44" xfId="0" applyFont="1" applyFill="1" applyBorder="1"/>
    <xf numFmtId="2" fontId="29" fillId="4" borderId="0" xfId="0" applyNumberFormat="1" applyFont="1" applyFill="1"/>
    <xf numFmtId="0" fontId="0" fillId="4" borderId="0" xfId="0" applyFill="1" applyAlignment="1">
      <alignment horizontal="left" vertical="center" wrapText="1"/>
    </xf>
    <xf numFmtId="49" fontId="28" fillId="5" borderId="0" xfId="0" applyNumberFormat="1" applyFont="1" applyFill="1" applyAlignment="1" applyProtection="1">
      <alignment horizontal="center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1" fillId="12" borderId="14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31" fillId="13" borderId="15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/>
    </xf>
    <xf numFmtId="0" fontId="24" fillId="9" borderId="14" xfId="0" applyFont="1" applyFill="1" applyBorder="1" applyAlignment="1">
      <alignment horizontal="center" vertical="center"/>
    </xf>
    <xf numFmtId="1" fontId="26" fillId="3" borderId="0" xfId="5" applyNumberFormat="1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4" fontId="26" fillId="3" borderId="0" xfId="5" applyNumberFormat="1" applyFont="1" applyFill="1" applyBorder="1" applyAlignment="1" applyProtection="1">
      <alignment horizontal="center"/>
    </xf>
    <xf numFmtId="4" fontId="26" fillId="3" borderId="8" xfId="5" applyNumberFormat="1" applyFont="1" applyFill="1" applyBorder="1" applyAlignment="1" applyProtection="1">
      <alignment horizontal="center"/>
    </xf>
    <xf numFmtId="0" fontId="31" fillId="3" borderId="2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0" fontId="26" fillId="4" borderId="2" xfId="0" applyFont="1" applyFill="1" applyBorder="1" applyAlignment="1" applyProtection="1">
      <alignment horizontal="left" vertical="center" shrinkToFit="1"/>
      <protection locked="0"/>
    </xf>
    <xf numFmtId="0" fontId="35" fillId="3" borderId="3" xfId="0" applyFont="1" applyFill="1" applyBorder="1" applyAlignment="1">
      <alignment horizontal="center" vertical="center" wrapText="1"/>
    </xf>
    <xf numFmtId="0" fontId="32" fillId="15" borderId="10" xfId="0" applyFont="1" applyFill="1" applyBorder="1" applyAlignment="1">
      <alignment horizontal="right" vertical="center"/>
    </xf>
    <xf numFmtId="0" fontId="32" fillId="15" borderId="2" xfId="0" applyFont="1" applyFill="1" applyBorder="1" applyAlignment="1">
      <alignment horizontal="right" vertical="center"/>
    </xf>
    <xf numFmtId="0" fontId="26" fillId="11" borderId="2" xfId="0" applyFont="1" applyFill="1" applyBorder="1" applyAlignment="1">
      <alignment horizontal="right" vertical="center" wrapText="1"/>
    </xf>
    <xf numFmtId="0" fontId="26" fillId="4" borderId="10" xfId="0" applyFont="1" applyFill="1" applyBorder="1" applyAlignment="1" applyProtection="1">
      <alignment horizontal="left" vertical="center" shrinkToFit="1"/>
      <protection locked="0"/>
    </xf>
    <xf numFmtId="0" fontId="26" fillId="3" borderId="2" xfId="0" applyFont="1" applyFill="1" applyBorder="1" applyAlignment="1">
      <alignment horizontal="right" vertical="center" wrapText="1"/>
    </xf>
    <xf numFmtId="0" fontId="32" fillId="9" borderId="10" xfId="0" applyFont="1" applyFill="1" applyBorder="1" applyAlignment="1">
      <alignment horizontal="right" vertical="center"/>
    </xf>
    <xf numFmtId="0" fontId="32" fillId="9" borderId="2" xfId="0" applyFont="1" applyFill="1" applyBorder="1" applyAlignment="1">
      <alignment horizontal="right" vertical="center"/>
    </xf>
    <xf numFmtId="0" fontId="35" fillId="11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4" fontId="23" fillId="4" borderId="9" xfId="3" applyFont="1" applyFill="1" applyBorder="1" applyAlignment="1" applyProtection="1">
      <alignment horizontal="left"/>
      <protection locked="0"/>
    </xf>
    <xf numFmtId="44" fontId="23" fillId="4" borderId="2" xfId="3" applyFont="1" applyFill="1" applyBorder="1" applyAlignment="1" applyProtection="1">
      <alignment horizontal="left"/>
      <protection locked="0"/>
    </xf>
    <xf numFmtId="165" fontId="31" fillId="14" borderId="14" xfId="0" applyNumberFormat="1" applyFont="1" applyFill="1" applyBorder="1" applyAlignment="1">
      <alignment vertical="center"/>
    </xf>
    <xf numFmtId="0" fontId="0" fillId="11" borderId="6" xfId="0" applyFill="1" applyBorder="1" applyAlignment="1">
      <alignment horizontal="right" vertical="center"/>
    </xf>
    <xf numFmtId="0" fontId="0" fillId="11" borderId="13" xfId="0" applyFill="1" applyBorder="1" applyAlignment="1">
      <alignment horizontal="right" vertical="center"/>
    </xf>
    <xf numFmtId="0" fontId="26" fillId="11" borderId="9" xfId="0" applyFont="1" applyFill="1" applyBorder="1" applyAlignment="1">
      <alignment horizontal="center" vertical="center"/>
    </xf>
    <xf numFmtId="165" fontId="31" fillId="8" borderId="14" xfId="0" applyNumberFormat="1" applyFont="1" applyFill="1" applyBorder="1" applyAlignment="1">
      <alignment vertical="center"/>
    </xf>
    <xf numFmtId="165" fontId="31" fillId="8" borderId="14" xfId="0" applyNumberFormat="1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52" fillId="20" borderId="16" xfId="0" applyFont="1" applyFill="1" applyBorder="1" applyAlignment="1">
      <alignment horizontal="center" vertical="center" wrapText="1"/>
    </xf>
    <xf numFmtId="0" fontId="52" fillId="20" borderId="21" xfId="0" applyFont="1" applyFill="1" applyBorder="1" applyAlignment="1">
      <alignment horizontal="left" vertical="center" wrapText="1" indent="1"/>
    </xf>
    <xf numFmtId="0" fontId="52" fillId="20" borderId="21" xfId="0" applyFont="1" applyFill="1" applyBorder="1" applyAlignment="1">
      <alignment horizontal="center" vertical="center" wrapText="1"/>
    </xf>
    <xf numFmtId="0" fontId="52" fillId="20" borderId="2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172" fontId="0" fillId="0" borderId="0" xfId="0" applyNumberFormat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4" fontId="0" fillId="3" borderId="15" xfId="0" applyNumberFormat="1" applyFill="1" applyBorder="1"/>
    <xf numFmtId="43" fontId="0" fillId="3" borderId="0" xfId="0" applyNumberFormat="1" applyFill="1"/>
    <xf numFmtId="43" fontId="0" fillId="3" borderId="15" xfId="0" applyNumberFormat="1" applyFill="1" applyBorder="1"/>
    <xf numFmtId="172" fontId="0" fillId="12" borderId="15" xfId="0" applyNumberFormat="1" applyFill="1" applyBorder="1" applyAlignment="1">
      <alignment horizontal="right"/>
    </xf>
    <xf numFmtId="172" fontId="0" fillId="0" borderId="0" xfId="0" applyNumberFormat="1" applyAlignment="1">
      <alignment horizontal="right"/>
    </xf>
    <xf numFmtId="43" fontId="0" fillId="0" borderId="0" xfId="0" applyNumberFormat="1"/>
    <xf numFmtId="4" fontId="0" fillId="0" borderId="0" xfId="0" applyNumberFormat="1"/>
    <xf numFmtId="0" fontId="0" fillId="0" borderId="0" xfId="0" applyProtection="1">
      <protection locked="0"/>
    </xf>
    <xf numFmtId="0" fontId="32" fillId="9" borderId="14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0" fontId="23" fillId="3" borderId="1" xfId="4" applyNumberFormat="1" applyFont="1" applyFill="1" applyBorder="1" applyAlignment="1" applyProtection="1">
      <alignment horizontal="left"/>
    </xf>
    <xf numFmtId="3" fontId="31" fillId="8" borderId="14" xfId="0" applyNumberFormat="1" applyFont="1" applyFill="1" applyBorder="1" applyAlignment="1">
      <alignment horizontal="right" vertical="center"/>
    </xf>
    <xf numFmtId="9" fontId="23" fillId="3" borderId="9" xfId="4" applyFont="1" applyFill="1" applyBorder="1" applyProtection="1"/>
    <xf numFmtId="9" fontId="0" fillId="3" borderId="1" xfId="4" applyFont="1" applyFill="1" applyBorder="1" applyAlignment="1">
      <alignment horizontal="right" vertical="center"/>
    </xf>
    <xf numFmtId="9" fontId="0" fillId="3" borderId="9" xfId="4" applyFont="1" applyFill="1" applyBorder="1"/>
    <xf numFmtId="0" fontId="0" fillId="3" borderId="11" xfId="0" applyFill="1" applyBorder="1" applyAlignment="1">
      <alignment horizontal="center" vertical="center"/>
    </xf>
    <xf numFmtId="2" fontId="0" fillId="0" borderId="0" xfId="0" applyNumberFormat="1"/>
    <xf numFmtId="0" fontId="0" fillId="27" borderId="0" xfId="0" applyFill="1"/>
    <xf numFmtId="2" fontId="0" fillId="3" borderId="9" xfId="5" applyNumberFormat="1" applyFont="1" applyFill="1" applyBorder="1" applyAlignment="1" applyProtection="1">
      <alignment horizontal="right"/>
    </xf>
    <xf numFmtId="2" fontId="0" fillId="3" borderId="1" xfId="5" applyNumberFormat="1" applyFont="1" applyFill="1" applyBorder="1" applyAlignment="1" applyProtection="1">
      <alignment horizontal="right"/>
    </xf>
    <xf numFmtId="0" fontId="0" fillId="3" borderId="6" xfId="0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165" fontId="0" fillId="3" borderId="14" xfId="0" applyNumberFormat="1" applyFill="1" applyBorder="1" applyAlignment="1">
      <alignment vertical="center"/>
    </xf>
    <xf numFmtId="9" fontId="0" fillId="4" borderId="1" xfId="4" applyFont="1" applyFill="1" applyBorder="1" applyAlignment="1" applyProtection="1">
      <alignment vertical="center"/>
      <protection locked="0"/>
    </xf>
    <xf numFmtId="10" fontId="0" fillId="3" borderId="1" xfId="4" applyNumberFormat="1" applyFont="1" applyFill="1" applyBorder="1" applyAlignment="1">
      <alignment vertical="center"/>
    </xf>
    <xf numFmtId="10" fontId="31" fillId="8" borderId="1" xfId="4" applyNumberFormat="1" applyFont="1" applyFill="1" applyBorder="1"/>
    <xf numFmtId="0" fontId="0" fillId="3" borderId="11" xfId="0" applyFill="1" applyBorder="1" applyAlignment="1">
      <alignment vertical="center"/>
    </xf>
    <xf numFmtId="0" fontId="0" fillId="3" borderId="7" xfId="0" applyFill="1" applyBorder="1" applyAlignment="1">
      <alignment horizontal="centerContinuous" vertical="center"/>
    </xf>
    <xf numFmtId="0" fontId="0" fillId="3" borderId="11" xfId="0" applyFill="1" applyBorder="1" applyAlignment="1">
      <alignment horizontal="centerContinuous" vertical="center"/>
    </xf>
    <xf numFmtId="0" fontId="31" fillId="12" borderId="9" xfId="0" applyFont="1" applyFill="1" applyBorder="1" applyAlignment="1">
      <alignment horizontal="left"/>
    </xf>
    <xf numFmtId="0" fontId="0" fillId="0" borderId="7" xfId="0" applyBorder="1"/>
    <xf numFmtId="0" fontId="0" fillId="0" borderId="0" xfId="0" applyAlignment="1">
      <alignment vertical="justify" wrapText="1"/>
    </xf>
    <xf numFmtId="0" fontId="0" fillId="0" borderId="8" xfId="0" applyBorder="1"/>
    <xf numFmtId="0" fontId="62" fillId="3" borderId="0" xfId="0" applyFont="1" applyFill="1" applyAlignment="1">
      <alignment vertical="center"/>
    </xf>
    <xf numFmtId="0" fontId="28" fillId="10" borderId="0" xfId="0" applyFont="1" applyFill="1"/>
    <xf numFmtId="0" fontId="31" fillId="12" borderId="9" xfId="0" applyFont="1" applyFill="1" applyBorder="1" applyAlignment="1">
      <alignment horizontal="center"/>
    </xf>
    <xf numFmtId="10" fontId="44" fillId="0" borderId="2" xfId="4" applyNumberFormat="1" applyFont="1" applyBorder="1" applyAlignment="1">
      <alignment horizontal="center" vertical="center"/>
    </xf>
    <xf numFmtId="17" fontId="44" fillId="12" borderId="7" xfId="0" applyNumberFormat="1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9" fontId="46" fillId="4" borderId="48" xfId="4" applyFont="1" applyFill="1" applyBorder="1" applyAlignment="1" applyProtection="1">
      <alignment horizontal="center" vertical="center"/>
      <protection locked="0"/>
    </xf>
    <xf numFmtId="10" fontId="44" fillId="4" borderId="0" xfId="0" applyNumberFormat="1" applyFont="1" applyFill="1" applyAlignment="1">
      <alignment horizontal="center" vertical="center"/>
    </xf>
    <xf numFmtId="9" fontId="1" fillId="4" borderId="7" xfId="4" applyFont="1" applyFill="1" applyBorder="1" applyAlignment="1" applyProtection="1">
      <alignment horizontal="center" vertical="center"/>
    </xf>
    <xf numFmtId="2" fontId="0" fillId="4" borderId="1" xfId="0" applyNumberFormat="1" applyFill="1" applyBorder="1"/>
    <xf numFmtId="10" fontId="44" fillId="0" borderId="6" xfId="4" applyNumberFormat="1" applyFont="1" applyBorder="1" applyAlignment="1">
      <alignment horizontal="center" vertical="center"/>
    </xf>
    <xf numFmtId="10" fontId="1" fillId="0" borderId="10" xfId="4" applyNumberFormat="1" applyFont="1" applyFill="1" applyBorder="1" applyAlignment="1">
      <alignment horizontal="center" vertical="center"/>
    </xf>
    <xf numFmtId="10" fontId="1" fillId="0" borderId="2" xfId="4" applyNumberFormat="1" applyFont="1" applyFill="1" applyBorder="1" applyAlignment="1">
      <alignment horizontal="center" vertical="center"/>
    </xf>
    <xf numFmtId="9" fontId="1" fillId="0" borderId="9" xfId="4" applyFont="1" applyFill="1" applyBorder="1" applyAlignment="1">
      <alignment horizontal="center" vertical="center"/>
    </xf>
    <xf numFmtId="2" fontId="31" fillId="0" borderId="0" xfId="0" applyNumberFormat="1" applyFont="1" applyAlignment="1">
      <alignment horizontal="center"/>
    </xf>
    <xf numFmtId="0" fontId="0" fillId="0" borderId="9" xfId="0" applyBorder="1" applyProtection="1">
      <protection locked="0"/>
    </xf>
    <xf numFmtId="0" fontId="24" fillId="0" borderId="10" xfId="0" applyFont="1" applyBorder="1" applyProtection="1">
      <protection locked="0"/>
    </xf>
    <xf numFmtId="0" fontId="31" fillId="12" borderId="1" xfId="0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14" fontId="29" fillId="0" borderId="0" xfId="0" applyNumberFormat="1" applyFont="1"/>
    <xf numFmtId="10" fontId="44" fillId="28" borderId="1" xfId="4" applyNumberFormat="1" applyFont="1" applyFill="1" applyBorder="1" applyAlignment="1">
      <alignment horizontal="center" vertical="center"/>
    </xf>
    <xf numFmtId="0" fontId="0" fillId="12" borderId="1" xfId="0" applyFill="1" applyBorder="1"/>
    <xf numFmtId="2" fontId="0" fillId="12" borderId="1" xfId="0" applyNumberForma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1" fontId="0" fillId="0" borderId="1" xfId="0" applyNumberFormat="1" applyBorder="1" applyAlignment="1" applyProtection="1">
      <alignment vertical="center"/>
      <protection locked="0"/>
    </xf>
    <xf numFmtId="1" fontId="0" fillId="4" borderId="1" xfId="0" applyNumberFormat="1" applyFill="1" applyBorder="1" applyProtection="1">
      <protection locked="0"/>
    </xf>
    <xf numFmtId="14" fontId="29" fillId="10" borderId="0" xfId="0" applyNumberFormat="1" applyFont="1" applyFill="1"/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49" fontId="28" fillId="5" borderId="0" xfId="0" applyNumberFormat="1" applyFont="1" applyFill="1" applyAlignment="1" applyProtection="1">
      <alignment horizont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1" fillId="19" borderId="0" xfId="0" applyFont="1" applyFill="1" applyAlignment="1">
      <alignment horizontal="center" vertical="center" wrapText="1"/>
    </xf>
    <xf numFmtId="0" fontId="61" fillId="19" borderId="29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center" vertical="center"/>
    </xf>
    <xf numFmtId="0" fontId="32" fillId="9" borderId="10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0" fillId="4" borderId="9" xfId="0" quotePrefix="1" applyFill="1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0" fillId="4" borderId="2" xfId="0" quotePrefix="1" applyFill="1" applyBorder="1" applyAlignment="1" applyProtection="1">
      <alignment horizontal="center" vertical="center"/>
      <protection locked="0"/>
    </xf>
    <xf numFmtId="0" fontId="60" fillId="9" borderId="0" xfId="0" applyFont="1" applyFill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12" borderId="9" xfId="0" applyFont="1" applyFill="1" applyBorder="1" applyAlignment="1">
      <alignment horizontal="center" vertical="center"/>
    </xf>
    <xf numFmtId="0" fontId="33" fillId="12" borderId="10" xfId="0" applyFont="1" applyFill="1" applyBorder="1" applyAlignment="1">
      <alignment horizontal="center" vertical="center"/>
    </xf>
    <xf numFmtId="0" fontId="33" fillId="12" borderId="2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left" vertical="center"/>
    </xf>
    <xf numFmtId="0" fontId="32" fillId="9" borderId="12" xfId="0" applyFont="1" applyFill="1" applyBorder="1" applyAlignment="1">
      <alignment horizontal="left" vertical="center"/>
    </xf>
    <xf numFmtId="0" fontId="32" fillId="9" borderId="2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13" xfId="0" applyNumberFormat="1" applyFont="1" applyFill="1" applyBorder="1" applyAlignment="1">
      <alignment horizontal="center" vertical="center"/>
    </xf>
    <xf numFmtId="2" fontId="0" fillId="12" borderId="10" xfId="0" quotePrefix="1" applyNumberFormat="1" applyFill="1" applyBorder="1" applyAlignment="1">
      <alignment horizontal="center"/>
    </xf>
    <xf numFmtId="2" fontId="0" fillId="12" borderId="2" xfId="0" quotePrefix="1" applyNumberFormat="1" applyFill="1" applyBorder="1" applyAlignment="1">
      <alignment horizontal="center"/>
    </xf>
    <xf numFmtId="0" fontId="33" fillId="12" borderId="4" xfId="0" applyFont="1" applyFill="1" applyBorder="1" applyAlignment="1">
      <alignment horizontal="center" vertical="center"/>
    </xf>
    <xf numFmtId="0" fontId="33" fillId="12" borderId="11" xfId="0" applyFont="1" applyFill="1" applyBorder="1" applyAlignment="1">
      <alignment horizontal="center" vertical="center"/>
    </xf>
    <xf numFmtId="14" fontId="0" fillId="12" borderId="10" xfId="0" applyNumberFormat="1" applyFill="1" applyBorder="1" applyAlignment="1">
      <alignment horizontal="center"/>
    </xf>
    <xf numFmtId="14" fontId="0" fillId="12" borderId="2" xfId="0" applyNumberFormat="1" applyFill="1" applyBorder="1" applyAlignment="1">
      <alignment horizontal="center"/>
    </xf>
    <xf numFmtId="0" fontId="50" fillId="9" borderId="45" xfId="0" applyFont="1" applyFill="1" applyBorder="1" applyAlignment="1" applyProtection="1">
      <alignment horizontal="center" vertical="center"/>
      <protection locked="0"/>
    </xf>
    <xf numFmtId="0" fontId="50" fillId="9" borderId="46" xfId="0" applyFont="1" applyFill="1" applyBorder="1" applyAlignment="1" applyProtection="1">
      <alignment horizontal="center" vertical="center"/>
      <protection locked="0"/>
    </xf>
    <xf numFmtId="0" fontId="50" fillId="9" borderId="47" xfId="0" applyFont="1" applyFill="1" applyBorder="1" applyAlignment="1" applyProtection="1">
      <alignment horizontal="center" vertical="center"/>
      <protection locked="0"/>
    </xf>
    <xf numFmtId="0" fontId="32" fillId="9" borderId="12" xfId="0" applyFont="1" applyFill="1" applyBorder="1" applyAlignment="1">
      <alignment horizontal="center"/>
    </xf>
    <xf numFmtId="2" fontId="32" fillId="12" borderId="9" xfId="0" applyNumberFormat="1" applyFont="1" applyFill="1" applyBorder="1" applyAlignment="1" applyProtection="1">
      <alignment horizontal="center" vertical="center"/>
      <protection locked="0"/>
    </xf>
    <xf numFmtId="2" fontId="32" fillId="12" borderId="10" xfId="0" applyNumberFormat="1" applyFont="1" applyFill="1" applyBorder="1" applyAlignment="1" applyProtection="1">
      <alignment horizontal="center" vertical="center"/>
      <protection locked="0"/>
    </xf>
    <xf numFmtId="2" fontId="32" fillId="12" borderId="2" xfId="0" applyNumberFormat="1" applyFont="1" applyFill="1" applyBorder="1" applyAlignment="1" applyProtection="1">
      <alignment horizontal="center" vertical="center"/>
      <protection locked="0"/>
    </xf>
    <xf numFmtId="2" fontId="32" fillId="12" borderId="9" xfId="0" applyNumberFormat="1" applyFont="1" applyFill="1" applyBorder="1" applyAlignment="1">
      <alignment horizontal="center" vertical="center"/>
    </xf>
    <xf numFmtId="2" fontId="32" fillId="12" borderId="10" xfId="0" applyNumberFormat="1" applyFont="1" applyFill="1" applyBorder="1" applyAlignment="1">
      <alignment horizontal="center" vertical="center"/>
    </xf>
    <xf numFmtId="2" fontId="32" fillId="12" borderId="2" xfId="0" applyNumberFormat="1" applyFont="1" applyFill="1" applyBorder="1" applyAlignment="1">
      <alignment horizontal="center" vertical="center"/>
    </xf>
    <xf numFmtId="0" fontId="32" fillId="19" borderId="9" xfId="0" applyFont="1" applyFill="1" applyBorder="1" applyAlignment="1">
      <alignment horizontal="center"/>
    </xf>
    <xf numFmtId="0" fontId="32" fillId="19" borderId="10" xfId="0" applyFont="1" applyFill="1" applyBorder="1" applyAlignment="1">
      <alignment horizontal="center"/>
    </xf>
    <xf numFmtId="0" fontId="32" fillId="19" borderId="2" xfId="0" applyFont="1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10" fontId="0" fillId="6" borderId="1" xfId="0" applyNumberFormat="1" applyFill="1" applyBorder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170" fontId="0" fillId="4" borderId="14" xfId="0" applyNumberFormat="1" applyFill="1" applyBorder="1" applyAlignment="1" applyProtection="1">
      <alignment horizontal="left"/>
      <protection locked="0"/>
    </xf>
    <xf numFmtId="49" fontId="25" fillId="4" borderId="1" xfId="2" applyNumberFormat="1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0" fontId="26" fillId="4" borderId="9" xfId="1" applyFont="1" applyFill="1" applyBorder="1" applyAlignment="1" applyProtection="1">
      <alignment horizontal="center"/>
      <protection locked="0"/>
    </xf>
    <xf numFmtId="0" fontId="26" fillId="4" borderId="10" xfId="1" applyFont="1" applyFill="1" applyBorder="1" applyAlignment="1" applyProtection="1">
      <alignment horizontal="center"/>
      <protection locked="0"/>
    </xf>
    <xf numFmtId="0" fontId="26" fillId="4" borderId="2" xfId="1" applyFont="1" applyFill="1" applyBorder="1" applyAlignment="1" applyProtection="1">
      <alignment horizontal="center"/>
      <protection locked="0"/>
    </xf>
    <xf numFmtId="9" fontId="26" fillId="4" borderId="0" xfId="1" applyNumberFormat="1" applyFont="1" applyFill="1" applyBorder="1" applyAlignment="1" applyProtection="1">
      <alignment horizontal="center"/>
    </xf>
    <xf numFmtId="0" fontId="26" fillId="4" borderId="0" xfId="1" applyFont="1" applyFill="1" applyBorder="1" applyAlignment="1" applyProtection="1">
      <alignment horizontal="center"/>
    </xf>
    <xf numFmtId="4" fontId="32" fillId="9" borderId="0" xfId="1" applyNumberFormat="1" applyFont="1" applyFill="1" applyBorder="1" applyAlignment="1" applyProtection="1">
      <alignment horizontal="center"/>
    </xf>
    <xf numFmtId="0" fontId="26" fillId="4" borderId="1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2" fontId="24" fillId="15" borderId="0" xfId="0" applyNumberFormat="1" applyFont="1" applyFill="1" applyAlignment="1">
      <alignment horizontal="center"/>
    </xf>
    <xf numFmtId="3" fontId="24" fillId="9" borderId="0" xfId="0" applyNumberFormat="1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44" fontId="24" fillId="9" borderId="0" xfId="3" applyFont="1" applyFill="1" applyBorder="1" applyAlignment="1" applyProtection="1">
      <alignment horizontal="left"/>
    </xf>
    <xf numFmtId="44" fontId="32" fillId="9" borderId="0" xfId="3" applyFont="1" applyFill="1" applyBorder="1" applyAlignment="1" applyProtection="1">
      <alignment horizontal="left"/>
    </xf>
    <xf numFmtId="14" fontId="24" fillId="9" borderId="0" xfId="0" applyNumberFormat="1" applyFont="1" applyFill="1" applyAlignment="1">
      <alignment horizontal="center"/>
    </xf>
    <xf numFmtId="2" fontId="24" fillId="9" borderId="0" xfId="0" applyNumberFormat="1" applyFont="1" applyFill="1" applyAlignment="1">
      <alignment horizontal="center"/>
    </xf>
    <xf numFmtId="3" fontId="24" fillId="15" borderId="0" xfId="0" applyNumberFormat="1" applyFont="1" applyFill="1" applyAlignment="1">
      <alignment horizontal="center"/>
    </xf>
    <xf numFmtId="0" fontId="24" fillId="15" borderId="0" xfId="0" applyFont="1" applyFill="1" applyAlignment="1">
      <alignment horizontal="center"/>
    </xf>
    <xf numFmtId="14" fontId="24" fillId="15" borderId="0" xfId="0" applyNumberFormat="1" applyFont="1" applyFill="1" applyAlignment="1">
      <alignment horizontal="center"/>
    </xf>
    <xf numFmtId="3" fontId="24" fillId="9" borderId="0" xfId="1" applyNumberFormat="1" applyFill="1" applyBorder="1" applyAlignment="1" applyProtection="1">
      <alignment horizontal="center"/>
    </xf>
    <xf numFmtId="0" fontId="62" fillId="3" borderId="0" xfId="0" applyFont="1" applyFill="1" applyAlignment="1">
      <alignment horizontal="right" vertical="center"/>
    </xf>
    <xf numFmtId="0" fontId="62" fillId="11" borderId="0" xfId="0" applyFont="1" applyFill="1" applyAlignment="1">
      <alignment horizontal="right" vertical="center"/>
    </xf>
    <xf numFmtId="168" fontId="63" fillId="15" borderId="0" xfId="1" applyNumberFormat="1" applyFont="1" applyFill="1" applyBorder="1" applyAlignment="1" applyProtection="1">
      <alignment horizontal="center" vertical="center"/>
    </xf>
    <xf numFmtId="44" fontId="32" fillId="15" borderId="0" xfId="3" applyFont="1" applyFill="1" applyBorder="1" applyAlignment="1" applyProtection="1">
      <alignment horizontal="left"/>
    </xf>
    <xf numFmtId="44" fontId="24" fillId="15" borderId="0" xfId="3" applyFont="1" applyFill="1" applyBorder="1" applyAlignment="1" applyProtection="1">
      <alignment horizontal="left"/>
    </xf>
    <xf numFmtId="4" fontId="32" fillId="15" borderId="0" xfId="1" applyNumberFormat="1" applyFont="1" applyFill="1" applyBorder="1" applyAlignment="1" applyProtection="1">
      <alignment horizontal="center"/>
    </xf>
    <xf numFmtId="3" fontId="24" fillId="15" borderId="0" xfId="1" applyNumberFormat="1" applyFill="1" applyBorder="1" applyAlignment="1" applyProtection="1">
      <alignment horizontal="center"/>
    </xf>
    <xf numFmtId="2" fontId="0" fillId="0" borderId="1" xfId="5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74" fillId="3" borderId="0" xfId="0" applyFont="1" applyFill="1" applyAlignment="1">
      <alignment horizontal="center" vertical="center"/>
    </xf>
    <xf numFmtId="168" fontId="63" fillId="9" borderId="0" xfId="1" applyNumberFormat="1" applyFont="1" applyFill="1" applyBorder="1" applyAlignment="1" applyProtection="1">
      <alignment horizontal="center" vertical="center"/>
    </xf>
    <xf numFmtId="0" fontId="64" fillId="19" borderId="24" xfId="0" applyFont="1" applyFill="1" applyBorder="1" applyAlignment="1">
      <alignment horizontal="center" vertical="center" wrapText="1"/>
    </xf>
    <xf numFmtId="0" fontId="64" fillId="19" borderId="25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9" borderId="0" xfId="0" applyFont="1" applyFill="1" applyAlignment="1">
      <alignment horizontal="center" vertical="center" wrapText="1"/>
    </xf>
    <xf numFmtId="0" fontId="64" fillId="19" borderId="27" xfId="0" applyFont="1" applyFill="1" applyBorder="1" applyAlignment="1">
      <alignment horizontal="center" vertical="center" wrapText="1"/>
    </xf>
    <xf numFmtId="0" fontId="64" fillId="19" borderId="28" xfId="0" applyFont="1" applyFill="1" applyBorder="1" applyAlignment="1">
      <alignment horizontal="center" vertical="center" wrapText="1"/>
    </xf>
    <xf numFmtId="0" fontId="64" fillId="19" borderId="29" xfId="0" applyFont="1" applyFill="1" applyBorder="1" applyAlignment="1">
      <alignment horizontal="center" vertical="center" wrapText="1"/>
    </xf>
    <xf numFmtId="0" fontId="64" fillId="19" borderId="30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center"/>
    </xf>
    <xf numFmtId="0" fontId="32" fillId="9" borderId="2" xfId="0" applyFont="1" applyFill="1" applyBorder="1" applyAlignment="1">
      <alignment horizont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63" fillId="9" borderId="14" xfId="0" applyNumberFormat="1" applyFont="1" applyFill="1" applyBorder="1" applyAlignment="1">
      <alignment horizontal="center" vertical="center"/>
    </xf>
    <xf numFmtId="2" fontId="63" fillId="9" borderId="15" xfId="0" applyNumberFormat="1" applyFont="1" applyFill="1" applyBorder="1" applyAlignment="1">
      <alignment horizontal="center" vertical="center"/>
    </xf>
    <xf numFmtId="2" fontId="63" fillId="9" borderId="3" xfId="0" applyNumberFormat="1" applyFont="1" applyFill="1" applyBorder="1" applyAlignment="1">
      <alignment horizontal="center" vertical="center"/>
    </xf>
    <xf numFmtId="0" fontId="31" fillId="12" borderId="14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center"/>
    </xf>
    <xf numFmtId="0" fontId="32" fillId="16" borderId="10" xfId="0" applyFont="1" applyFill="1" applyBorder="1" applyAlignment="1">
      <alignment horizontal="center"/>
    </xf>
    <xf numFmtId="0" fontId="32" fillId="16" borderId="2" xfId="0" applyFont="1" applyFill="1" applyBorder="1" applyAlignment="1">
      <alignment horizontal="center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2" fontId="63" fillId="15" borderId="14" xfId="0" applyNumberFormat="1" applyFont="1" applyFill="1" applyBorder="1" applyAlignment="1">
      <alignment horizontal="center" vertical="center"/>
    </xf>
    <xf numFmtId="2" fontId="63" fillId="15" borderId="15" xfId="0" applyNumberFormat="1" applyFont="1" applyFill="1" applyBorder="1" applyAlignment="1">
      <alignment horizontal="center" vertical="center"/>
    </xf>
    <xf numFmtId="2" fontId="63" fillId="15" borderId="3" xfId="0" applyNumberFormat="1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31" fillId="13" borderId="15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5" xfId="0" applyFont="1" applyFill="1" applyBorder="1" applyAlignment="1">
      <alignment horizontal="center" vertical="center"/>
    </xf>
    <xf numFmtId="0" fontId="32" fillId="15" borderId="3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center"/>
    </xf>
    <xf numFmtId="0" fontId="32" fillId="15" borderId="10" xfId="0" applyFont="1" applyFill="1" applyBorder="1" applyAlignment="1">
      <alignment horizontal="center"/>
    </xf>
    <xf numFmtId="0" fontId="32" fillId="15" borderId="2" xfId="0" applyFont="1" applyFill="1" applyBorder="1" applyAlignment="1">
      <alignment horizontal="center"/>
    </xf>
    <xf numFmtId="0" fontId="32" fillId="26" borderId="14" xfId="0" applyFont="1" applyFill="1" applyBorder="1" applyAlignment="1">
      <alignment horizontal="center" vertical="center" wrapText="1"/>
    </xf>
    <xf numFmtId="0" fontId="32" fillId="26" borderId="3" xfId="0" applyFont="1" applyFill="1" applyBorder="1" applyAlignment="1">
      <alignment horizontal="center" vertical="center" wrapText="1"/>
    </xf>
    <xf numFmtId="0" fontId="32" fillId="26" borderId="9" xfId="0" applyFont="1" applyFill="1" applyBorder="1" applyAlignment="1">
      <alignment horizontal="center"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/>
    </xf>
    <xf numFmtId="0" fontId="24" fillId="9" borderId="14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1" fontId="26" fillId="3" borderId="0" xfId="5" applyNumberFormat="1" applyFont="1" applyFill="1" applyBorder="1" applyAlignment="1" applyProtection="1">
      <alignment horizontal="center"/>
    </xf>
    <xf numFmtId="1" fontId="26" fillId="3" borderId="8" xfId="5" applyNumberFormat="1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32" fillId="9" borderId="42" xfId="0" quotePrefix="1" applyFont="1" applyFill="1" applyBorder="1" applyAlignment="1">
      <alignment horizontal="center"/>
    </xf>
    <xf numFmtId="0" fontId="32" fillId="9" borderId="14" xfId="0" applyFont="1" applyFill="1" applyBorder="1" applyAlignment="1">
      <alignment horizontal="center"/>
    </xf>
    <xf numFmtId="4" fontId="26" fillId="3" borderId="0" xfId="5" applyNumberFormat="1" applyFont="1" applyFill="1" applyBorder="1" applyAlignment="1" applyProtection="1">
      <alignment horizontal="center"/>
    </xf>
    <xf numFmtId="4" fontId="26" fillId="3" borderId="8" xfId="5" applyNumberFormat="1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31" fillId="3" borderId="10" xfId="0" applyFont="1" applyFill="1" applyBorder="1" applyAlignment="1">
      <alignment horizontal="right"/>
    </xf>
    <xf numFmtId="0" fontId="31" fillId="3" borderId="2" xfId="0" applyFont="1" applyFill="1" applyBorder="1" applyAlignment="1">
      <alignment horizontal="right"/>
    </xf>
    <xf numFmtId="0" fontId="31" fillId="12" borderId="10" xfId="0" applyFont="1" applyFill="1" applyBorder="1" applyAlignment="1">
      <alignment horizontal="right"/>
    </xf>
    <xf numFmtId="0" fontId="31" fillId="12" borderId="2" xfId="0" applyFont="1" applyFill="1" applyBorder="1" applyAlignment="1">
      <alignment horizontal="right"/>
    </xf>
    <xf numFmtId="0" fontId="36" fillId="12" borderId="1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center"/>
    </xf>
    <xf numFmtId="44" fontId="0" fillId="4" borderId="9" xfId="3" applyFont="1" applyFill="1" applyBorder="1" applyAlignment="1" applyProtection="1">
      <alignment horizontal="center"/>
    </xf>
    <xf numFmtId="44" fontId="23" fillId="4" borderId="10" xfId="3" applyFont="1" applyFill="1" applyBorder="1" applyAlignment="1" applyProtection="1">
      <alignment horizontal="center"/>
    </xf>
    <xf numFmtId="44" fontId="23" fillId="4" borderId="2" xfId="3" applyFont="1" applyFill="1" applyBorder="1" applyAlignment="1" applyProtection="1">
      <alignment horizontal="center"/>
    </xf>
    <xf numFmtId="0" fontId="0" fillId="4" borderId="2" xfId="0" applyFill="1" applyBorder="1" applyAlignment="1">
      <alignment horizontal="left"/>
    </xf>
    <xf numFmtId="0" fontId="36" fillId="12" borderId="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2" fontId="26" fillId="12" borderId="1" xfId="0" applyNumberFormat="1" applyFont="1" applyFill="1" applyBorder="1" applyAlignment="1">
      <alignment horizontal="center"/>
    </xf>
    <xf numFmtId="0" fontId="36" fillId="13" borderId="1" xfId="0" applyFont="1" applyFill="1" applyBorder="1" applyAlignment="1">
      <alignment horizontal="center"/>
    </xf>
    <xf numFmtId="0" fontId="31" fillId="11" borderId="10" xfId="0" applyFont="1" applyFill="1" applyBorder="1" applyAlignment="1">
      <alignment horizontal="right"/>
    </xf>
    <xf numFmtId="0" fontId="31" fillId="11" borderId="2" xfId="0" applyFont="1" applyFill="1" applyBorder="1" applyAlignment="1">
      <alignment horizontal="right"/>
    </xf>
    <xf numFmtId="0" fontId="31" fillId="13" borderId="10" xfId="0" applyFont="1" applyFill="1" applyBorder="1" applyAlignment="1">
      <alignment horizontal="right"/>
    </xf>
    <xf numFmtId="0" fontId="31" fillId="13" borderId="2" xfId="0" applyFont="1" applyFill="1" applyBorder="1" applyAlignment="1">
      <alignment horizontal="right"/>
    </xf>
    <xf numFmtId="0" fontId="31" fillId="11" borderId="9" xfId="0" applyFont="1" applyFill="1" applyBorder="1" applyAlignment="1">
      <alignment horizontal="center"/>
    </xf>
    <xf numFmtId="0" fontId="31" fillId="11" borderId="10" xfId="0" applyFont="1" applyFill="1" applyBorder="1" applyAlignment="1">
      <alignment horizontal="center"/>
    </xf>
    <xf numFmtId="0" fontId="31" fillId="11" borderId="2" xfId="0" applyFont="1" applyFill="1" applyBorder="1" applyAlignment="1">
      <alignment horizontal="center"/>
    </xf>
    <xf numFmtId="0" fontId="32" fillId="15" borderId="10" xfId="0" applyFont="1" applyFill="1" applyBorder="1" applyAlignment="1">
      <alignment horizontal="right"/>
    </xf>
    <xf numFmtId="0" fontId="32" fillId="15" borderId="2" xfId="0" applyFont="1" applyFill="1" applyBorder="1" applyAlignment="1">
      <alignment horizontal="right"/>
    </xf>
    <xf numFmtId="0" fontId="36" fillId="13" borderId="9" xfId="0" applyFont="1" applyFill="1" applyBorder="1" applyAlignment="1">
      <alignment horizontal="center"/>
    </xf>
    <xf numFmtId="0" fontId="36" fillId="13" borderId="10" xfId="0" applyFont="1" applyFill="1" applyBorder="1" applyAlignment="1">
      <alignment horizontal="center"/>
    </xf>
    <xf numFmtId="0" fontId="36" fillId="13" borderId="2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right"/>
    </xf>
    <xf numFmtId="0" fontId="32" fillId="9" borderId="2" xfId="0" applyFont="1" applyFill="1" applyBorder="1" applyAlignment="1">
      <alignment horizontal="right"/>
    </xf>
    <xf numFmtId="0" fontId="32" fillId="9" borderId="1" xfId="0" applyFont="1" applyFill="1" applyBorder="1" applyAlignment="1">
      <alignment horizontal="center"/>
    </xf>
    <xf numFmtId="0" fontId="32" fillId="15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 applyProtection="1">
      <alignment horizontal="left" vertical="center" shrinkToFit="1"/>
      <protection locked="0"/>
    </xf>
    <xf numFmtId="0" fontId="26" fillId="4" borderId="1" xfId="0" applyFont="1" applyFill="1" applyBorder="1" applyAlignment="1" applyProtection="1">
      <alignment horizontal="left" vertical="center" shrinkToFit="1"/>
      <protection locked="0"/>
    </xf>
    <xf numFmtId="0" fontId="36" fillId="12" borderId="9" xfId="0" applyFont="1" applyFill="1" applyBorder="1" applyAlignment="1">
      <alignment horizontal="center" vertical="center"/>
    </xf>
    <xf numFmtId="0" fontId="36" fillId="12" borderId="10" xfId="0" applyFont="1" applyFill="1" applyBorder="1" applyAlignment="1">
      <alignment horizontal="center" vertical="center"/>
    </xf>
    <xf numFmtId="0" fontId="36" fillId="12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left" wrapText="1"/>
    </xf>
    <xf numFmtId="0" fontId="26" fillId="3" borderId="2" xfId="0" applyFont="1" applyFill="1" applyBorder="1" applyAlignment="1">
      <alignment horizontal="left" wrapText="1"/>
    </xf>
    <xf numFmtId="0" fontId="26" fillId="11" borderId="10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36" fillId="14" borderId="10" xfId="0" applyFont="1" applyFill="1" applyBorder="1" applyAlignment="1">
      <alignment horizontal="right"/>
    </xf>
    <xf numFmtId="0" fontId="36" fillId="14" borderId="2" xfId="0" applyFont="1" applyFill="1" applyBorder="1" applyAlignment="1">
      <alignment horizontal="right"/>
    </xf>
    <xf numFmtId="0" fontId="36" fillId="13" borderId="10" xfId="0" applyFont="1" applyFill="1" applyBorder="1" applyAlignment="1">
      <alignment horizontal="right"/>
    </xf>
    <xf numFmtId="0" fontId="36" fillId="13" borderId="2" xfId="0" applyFont="1" applyFill="1" applyBorder="1" applyAlignment="1">
      <alignment horizontal="right"/>
    </xf>
    <xf numFmtId="0" fontId="26" fillId="4" borderId="10" xfId="0" applyFont="1" applyFill="1" applyBorder="1" applyAlignment="1" applyProtection="1">
      <alignment horizontal="left" vertical="center" wrapText="1"/>
      <protection locked="0"/>
    </xf>
    <xf numFmtId="0" fontId="26" fillId="4" borderId="2" xfId="0" applyFont="1" applyFill="1" applyBorder="1" applyAlignment="1" applyProtection="1">
      <alignment horizontal="left" vertical="center" wrapText="1"/>
      <protection locked="0"/>
    </xf>
    <xf numFmtId="0" fontId="36" fillId="8" borderId="10" xfId="0" applyFont="1" applyFill="1" applyBorder="1" applyAlignment="1">
      <alignment horizontal="right"/>
    </xf>
    <xf numFmtId="0" fontId="36" fillId="8" borderId="2" xfId="0" applyFont="1" applyFill="1" applyBorder="1" applyAlignment="1">
      <alignment horizontal="right"/>
    </xf>
    <xf numFmtId="0" fontId="26" fillId="3" borderId="2" xfId="0" applyFont="1" applyFill="1" applyBorder="1" applyAlignment="1">
      <alignment horizontal="left" vertical="center" shrinkToFit="1"/>
    </xf>
    <xf numFmtId="0" fontId="26" fillId="3" borderId="1" xfId="0" applyFont="1" applyFill="1" applyBorder="1" applyAlignment="1">
      <alignment horizontal="left" vertical="center" shrinkToFit="1"/>
    </xf>
    <xf numFmtId="0" fontId="26" fillId="3" borderId="10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left" vertical="center" shrinkToFit="1"/>
    </xf>
    <xf numFmtId="0" fontId="26" fillId="4" borderId="10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36" fillId="13" borderId="1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left" wrapText="1"/>
    </xf>
    <xf numFmtId="0" fontId="26" fillId="11" borderId="2" xfId="0" applyFont="1" applyFill="1" applyBorder="1" applyAlignment="1">
      <alignment horizontal="left" wrapText="1"/>
    </xf>
    <xf numFmtId="0" fontId="26" fillId="11" borderId="2" xfId="0" applyFont="1" applyFill="1" applyBorder="1" applyAlignment="1">
      <alignment horizontal="left" vertical="center" shrinkToFit="1"/>
    </xf>
    <xf numFmtId="0" fontId="26" fillId="11" borderId="1" xfId="0" applyFont="1" applyFill="1" applyBorder="1" applyAlignment="1">
      <alignment horizontal="left" vertical="center" shrinkToFit="1"/>
    </xf>
    <xf numFmtId="0" fontId="26" fillId="4" borderId="10" xfId="0" applyFont="1" applyFill="1" applyBorder="1" applyAlignment="1">
      <alignment horizontal="left" vertical="center" shrinkToFit="1"/>
    </xf>
    <xf numFmtId="0" fontId="32" fillId="15" borderId="9" xfId="0" applyFont="1" applyFill="1" applyBorder="1" applyAlignment="1">
      <alignment horizontal="right" vertical="center"/>
    </xf>
    <xf numFmtId="0" fontId="32" fillId="15" borderId="10" xfId="0" applyFont="1" applyFill="1" applyBorder="1" applyAlignment="1">
      <alignment horizontal="right" vertical="center"/>
    </xf>
    <xf numFmtId="0" fontId="32" fillId="15" borderId="2" xfId="0" applyFont="1" applyFill="1" applyBorder="1" applyAlignment="1">
      <alignment horizontal="right" vertical="center"/>
    </xf>
    <xf numFmtId="0" fontId="26" fillId="11" borderId="10" xfId="0" applyFont="1" applyFill="1" applyBorder="1" applyAlignment="1">
      <alignment horizontal="right" vertical="center" wrapText="1"/>
    </xf>
    <xf numFmtId="0" fontId="26" fillId="11" borderId="2" xfId="0" applyFont="1" applyFill="1" applyBorder="1" applyAlignment="1">
      <alignment horizontal="right" vertical="center" wrapText="1"/>
    </xf>
    <xf numFmtId="0" fontId="26" fillId="4" borderId="10" xfId="0" applyFont="1" applyFill="1" applyBorder="1" applyAlignment="1" applyProtection="1">
      <alignment horizontal="left" vertical="center" shrinkToFit="1"/>
      <protection locked="0"/>
    </xf>
    <xf numFmtId="0" fontId="26" fillId="3" borderId="10" xfId="0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right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26" fillId="22" borderId="10" xfId="0" applyFont="1" applyFill="1" applyBorder="1" applyAlignment="1">
      <alignment horizontal="left" vertical="center" shrinkToFit="1"/>
    </xf>
    <xf numFmtId="0" fontId="26" fillId="22" borderId="2" xfId="0" applyFont="1" applyFill="1" applyBorder="1" applyAlignment="1">
      <alignment horizontal="left" vertical="center" shrinkToFit="1"/>
    </xf>
    <xf numFmtId="0" fontId="32" fillId="9" borderId="9" xfId="0" applyFont="1" applyFill="1" applyBorder="1" applyAlignment="1">
      <alignment horizontal="right" vertical="center"/>
    </xf>
    <xf numFmtId="0" fontId="32" fillId="9" borderId="10" xfId="0" applyFont="1" applyFill="1" applyBorder="1" applyAlignment="1">
      <alignment horizontal="right" vertical="center"/>
    </xf>
    <xf numFmtId="0" fontId="32" fillId="9" borderId="2" xfId="0" applyFont="1" applyFill="1" applyBorder="1" applyAlignment="1">
      <alignment horizontal="right" vertical="center"/>
    </xf>
    <xf numFmtId="0" fontId="36" fillId="12" borderId="4" xfId="0" applyFont="1" applyFill="1" applyBorder="1" applyAlignment="1">
      <alignment horizontal="center" vertical="center"/>
    </xf>
    <xf numFmtId="0" fontId="36" fillId="12" borderId="5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36" fillId="12" borderId="11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3" borderId="2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0" fontId="36" fillId="12" borderId="10" xfId="0" applyFont="1" applyFill="1" applyBorder="1" applyAlignment="1">
      <alignment horizontal="right"/>
    </xf>
    <xf numFmtId="0" fontId="36" fillId="12" borderId="2" xfId="0" applyFont="1" applyFill="1" applyBorder="1" applyAlignment="1">
      <alignment horizontal="right"/>
    </xf>
    <xf numFmtId="0" fontId="35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4" fontId="32" fillId="9" borderId="9" xfId="5" applyNumberFormat="1" applyFont="1" applyFill="1" applyBorder="1" applyAlignment="1" applyProtection="1">
      <alignment horizontal="center" vertical="center"/>
    </xf>
    <xf numFmtId="4" fontId="32" fillId="9" borderId="10" xfId="5" applyNumberFormat="1" applyFont="1" applyFill="1" applyBorder="1" applyAlignment="1" applyProtection="1">
      <alignment horizontal="center" vertical="center"/>
    </xf>
    <xf numFmtId="4" fontId="32" fillId="9" borderId="2" xfId="5" applyNumberFormat="1" applyFont="1" applyFill="1" applyBorder="1" applyAlignment="1" applyProtection="1">
      <alignment horizontal="center" vertical="center"/>
    </xf>
    <xf numFmtId="0" fontId="0" fillId="3" borderId="10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75" fillId="19" borderId="9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4" fontId="23" fillId="4" borderId="9" xfId="3" applyFont="1" applyFill="1" applyBorder="1" applyAlignment="1" applyProtection="1">
      <alignment horizontal="left"/>
    </xf>
    <xf numFmtId="44" fontId="23" fillId="4" borderId="2" xfId="3" applyFont="1" applyFill="1" applyBorder="1" applyAlignment="1" applyProtection="1">
      <alignment horizontal="left"/>
    </xf>
    <xf numFmtId="4" fontId="0" fillId="4" borderId="9" xfId="0" applyNumberFormat="1" applyFill="1" applyBorder="1" applyAlignment="1" applyProtection="1">
      <alignment horizontal="right"/>
      <protection locked="0"/>
    </xf>
    <xf numFmtId="4" fontId="0" fillId="4" borderId="2" xfId="0" applyNumberFormat="1" applyFill="1" applyBorder="1" applyAlignment="1" applyProtection="1">
      <alignment horizontal="right"/>
      <protection locked="0"/>
    </xf>
    <xf numFmtId="44" fontId="23" fillId="4" borderId="9" xfId="3" applyFont="1" applyFill="1" applyBorder="1" applyAlignment="1" applyProtection="1">
      <alignment horizontal="left"/>
      <protection locked="0"/>
    </xf>
    <xf numFmtId="44" fontId="23" fillId="4" borderId="2" xfId="3" applyFont="1" applyFill="1" applyBorder="1" applyAlignment="1" applyProtection="1">
      <alignment horizontal="left"/>
      <protection locked="0"/>
    </xf>
    <xf numFmtId="0" fontId="37" fillId="11" borderId="14" xfId="0" applyFont="1" applyFill="1" applyBorder="1" applyAlignment="1">
      <alignment horizontal="right" vertical="center"/>
    </xf>
    <xf numFmtId="0" fontId="37" fillId="11" borderId="3" xfId="0" applyFont="1" applyFill="1" applyBorder="1" applyAlignment="1">
      <alignment horizontal="right" vertical="center"/>
    </xf>
    <xf numFmtId="165" fontId="31" fillId="14" borderId="14" xfId="0" applyNumberFormat="1" applyFont="1" applyFill="1" applyBorder="1" applyAlignment="1">
      <alignment vertical="center"/>
    </xf>
    <xf numFmtId="165" fontId="31" fillId="14" borderId="3" xfId="0" applyNumberFormat="1" applyFont="1" applyFill="1" applyBorder="1" applyAlignment="1">
      <alignment vertical="center"/>
    </xf>
    <xf numFmtId="0" fontId="0" fillId="11" borderId="6" xfId="0" applyFill="1" applyBorder="1" applyAlignment="1">
      <alignment horizontal="right" vertical="center"/>
    </xf>
    <xf numFmtId="0" fontId="0" fillId="11" borderId="13" xfId="0" applyFill="1" applyBorder="1" applyAlignment="1">
      <alignment horizontal="right" vertical="center"/>
    </xf>
    <xf numFmtId="165" fontId="31" fillId="14" borderId="14" xfId="0" applyNumberFormat="1" applyFont="1" applyFill="1" applyBorder="1" applyAlignment="1">
      <alignment horizontal="right" vertical="center"/>
    </xf>
    <xf numFmtId="165" fontId="31" fillId="14" borderId="3" xfId="0" applyNumberFormat="1" applyFont="1" applyFill="1" applyBorder="1" applyAlignment="1">
      <alignment horizontal="right" vertical="center"/>
    </xf>
    <xf numFmtId="0" fontId="26" fillId="11" borderId="9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left" vertical="center" wrapText="1"/>
    </xf>
    <xf numFmtId="0" fontId="26" fillId="4" borderId="10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11" borderId="10" xfId="0" applyFont="1" applyFill="1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26" fillId="4" borderId="9" xfId="0" applyFont="1" applyFill="1" applyBorder="1" applyAlignment="1">
      <alignment horizontal="left" vertical="center"/>
    </xf>
    <xf numFmtId="165" fontId="31" fillId="8" borderId="14" xfId="0" applyNumberFormat="1" applyFont="1" applyFill="1" applyBorder="1" applyAlignment="1">
      <alignment vertical="center"/>
    </xf>
    <xf numFmtId="165" fontId="31" fillId="8" borderId="3" xfId="0" applyNumberFormat="1" applyFont="1" applyFill="1" applyBorder="1" applyAlignment="1">
      <alignment vertical="center"/>
    </xf>
    <xf numFmtId="165" fontId="31" fillId="8" borderId="14" xfId="0" applyNumberFormat="1" applyFont="1" applyFill="1" applyBorder="1" applyAlignment="1">
      <alignment horizontal="right" vertical="center"/>
    </xf>
    <xf numFmtId="165" fontId="31" fillId="8" borderId="3" xfId="0" applyNumberFormat="1" applyFont="1" applyFill="1" applyBorder="1" applyAlignment="1">
      <alignment horizontal="right" vertical="center"/>
    </xf>
    <xf numFmtId="0" fontId="40" fillId="3" borderId="14" xfId="0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27" fillId="3" borderId="10" xfId="0" applyFont="1" applyFill="1" applyBorder="1" applyAlignment="1">
      <alignment horizontal="left" vertical="center" wrapText="1"/>
    </xf>
    <xf numFmtId="0" fontId="32" fillId="23" borderId="4" xfId="0" applyFont="1" applyFill="1" applyBorder="1" applyAlignment="1">
      <alignment horizontal="center" vertical="center"/>
    </xf>
    <xf numFmtId="0" fontId="32" fillId="23" borderId="6" xfId="0" applyFont="1" applyFill="1" applyBorder="1" applyAlignment="1">
      <alignment horizontal="center" vertical="center"/>
    </xf>
    <xf numFmtId="0" fontId="32" fillId="23" borderId="11" xfId="0" applyFont="1" applyFill="1" applyBorder="1" applyAlignment="1">
      <alignment horizontal="center" vertical="center"/>
    </xf>
    <xf numFmtId="0" fontId="32" fillId="23" borderId="1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left" vertical="center"/>
    </xf>
    <xf numFmtId="0" fontId="24" fillId="19" borderId="0" xfId="0" applyFont="1" applyFill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 applyProtection="1">
      <alignment horizontal="left" vertical="center"/>
      <protection locked="0"/>
    </xf>
    <xf numFmtId="0" fontId="26" fillId="4" borderId="10" xfId="0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 applyProtection="1">
      <alignment horizontal="left" vertical="center"/>
      <protection locked="0"/>
    </xf>
    <xf numFmtId="0" fontId="36" fillId="3" borderId="9" xfId="0" applyFont="1" applyFill="1" applyBorder="1" applyAlignment="1" applyProtection="1">
      <alignment horizontal="center" vertical="center"/>
      <protection locked="0"/>
    </xf>
    <xf numFmtId="0" fontId="36" fillId="3" borderId="2" xfId="0" applyFont="1" applyFill="1" applyBorder="1" applyAlignment="1" applyProtection="1">
      <alignment horizontal="center" vertical="center"/>
      <protection locked="0"/>
    </xf>
    <xf numFmtId="0" fontId="26" fillId="11" borderId="10" xfId="0" applyFont="1" applyFill="1" applyBorder="1" applyAlignment="1">
      <alignment horizontal="left" vertical="center" shrinkToFit="1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2" xfId="0" applyFont="1" applyFill="1" applyBorder="1" applyAlignment="1" applyProtection="1">
      <alignment horizontal="center" vertical="center" shrinkToFit="1"/>
      <protection locked="0"/>
    </xf>
    <xf numFmtId="0" fontId="32" fillId="9" borderId="9" xfId="0" applyFont="1" applyFill="1" applyBorder="1" applyAlignment="1">
      <alignment horizontal="left" vertical="center"/>
    </xf>
    <xf numFmtId="0" fontId="32" fillId="9" borderId="10" xfId="0" applyFont="1" applyFill="1" applyBorder="1" applyAlignment="1">
      <alignment horizontal="left" vertical="center"/>
    </xf>
    <xf numFmtId="0" fontId="48" fillId="4" borderId="0" xfId="0" applyFont="1" applyFill="1" applyAlignment="1">
      <alignment horizontal="left" vertical="center"/>
    </xf>
    <xf numFmtId="0" fontId="0" fillId="10" borderId="0" xfId="0" applyFill="1" applyAlignment="1">
      <alignment horizontal="center"/>
    </xf>
    <xf numFmtId="0" fontId="48" fillId="4" borderId="0" xfId="0" applyFont="1" applyFill="1" applyAlignment="1">
      <alignment horizontal="left" vertical="center" wrapText="1"/>
    </xf>
    <xf numFmtId="0" fontId="65" fillId="19" borderId="24" xfId="0" applyFont="1" applyFill="1" applyBorder="1" applyAlignment="1">
      <alignment horizontal="center" vertical="center"/>
    </xf>
    <xf numFmtId="0" fontId="65" fillId="19" borderId="25" xfId="0" applyFont="1" applyFill="1" applyBorder="1" applyAlignment="1">
      <alignment horizontal="center" vertical="center"/>
    </xf>
    <xf numFmtId="0" fontId="65" fillId="19" borderId="26" xfId="0" applyFont="1" applyFill="1" applyBorder="1" applyAlignment="1">
      <alignment horizontal="center" vertical="center"/>
    </xf>
    <xf numFmtId="0" fontId="65" fillId="19" borderId="28" xfId="0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center" vertical="center"/>
    </xf>
    <xf numFmtId="0" fontId="65" fillId="19" borderId="3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31" fillId="3" borderId="9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67" fillId="20" borderId="20" xfId="0" applyFont="1" applyFill="1" applyBorder="1" applyAlignment="1">
      <alignment horizontal="center" vertical="center" wrapText="1"/>
    </xf>
    <xf numFmtId="0" fontId="67" fillId="20" borderId="35" xfId="0" applyFont="1" applyFill="1" applyBorder="1" applyAlignment="1">
      <alignment horizontal="center" vertical="center" wrapText="1"/>
    </xf>
    <xf numFmtId="0" fontId="67" fillId="20" borderId="21" xfId="0" applyFont="1" applyFill="1" applyBorder="1" applyAlignment="1">
      <alignment horizontal="center" vertical="center" wrapText="1"/>
    </xf>
    <xf numFmtId="44" fontId="64" fillId="19" borderId="17" xfId="3" applyFont="1" applyFill="1" applyBorder="1" applyAlignment="1" applyProtection="1">
      <alignment horizontal="center" vertical="center" wrapText="1"/>
    </xf>
    <xf numFmtId="44" fontId="64" fillId="19" borderId="0" xfId="3" applyFont="1" applyFill="1" applyBorder="1" applyAlignment="1" applyProtection="1">
      <alignment horizontal="center" vertical="center" wrapText="1"/>
    </xf>
    <xf numFmtId="0" fontId="66" fillId="20" borderId="20" xfId="0" applyFont="1" applyFill="1" applyBorder="1" applyAlignment="1">
      <alignment horizontal="center" vertical="center" wrapText="1"/>
    </xf>
    <xf numFmtId="0" fontId="66" fillId="20" borderId="21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left"/>
    </xf>
    <xf numFmtId="0" fontId="52" fillId="20" borderId="31" xfId="0" applyFont="1" applyFill="1" applyBorder="1" applyAlignment="1">
      <alignment horizontal="center" vertical="center" wrapText="1"/>
    </xf>
    <xf numFmtId="0" fontId="52" fillId="20" borderId="32" xfId="0" applyFont="1" applyFill="1" applyBorder="1" applyAlignment="1">
      <alignment horizontal="center" vertical="center" wrapText="1"/>
    </xf>
    <xf numFmtId="0" fontId="52" fillId="20" borderId="23" xfId="0" applyFont="1" applyFill="1" applyBorder="1" applyAlignment="1">
      <alignment horizontal="center" vertical="center" wrapText="1"/>
    </xf>
    <xf numFmtId="0" fontId="52" fillId="20" borderId="33" xfId="0" applyFont="1" applyFill="1" applyBorder="1" applyAlignment="1">
      <alignment horizontal="center" vertical="center" wrapText="1"/>
    </xf>
    <xf numFmtId="0" fontId="52" fillId="20" borderId="34" xfId="0" applyFont="1" applyFill="1" applyBorder="1" applyAlignment="1">
      <alignment horizontal="center" vertical="center" wrapText="1"/>
    </xf>
    <xf numFmtId="0" fontId="52" fillId="20" borderId="16" xfId="0" applyFont="1" applyFill="1" applyBorder="1" applyAlignment="1">
      <alignment horizontal="center" vertical="center" wrapText="1"/>
    </xf>
    <xf numFmtId="0" fontId="52" fillId="20" borderId="35" xfId="0" applyFont="1" applyFill="1" applyBorder="1" applyAlignment="1">
      <alignment horizontal="left" vertical="center" wrapText="1" indent="1"/>
    </xf>
    <xf numFmtId="0" fontId="52" fillId="20" borderId="21" xfId="0" applyFont="1" applyFill="1" applyBorder="1" applyAlignment="1">
      <alignment horizontal="left" vertical="center" wrapText="1" indent="1"/>
    </xf>
    <xf numFmtId="0" fontId="52" fillId="20" borderId="20" xfId="0" applyFont="1" applyFill="1" applyBorder="1" applyAlignment="1">
      <alignment horizontal="center" vertical="center" wrapText="1"/>
    </xf>
    <xf numFmtId="0" fontId="52" fillId="20" borderId="21" xfId="0" applyFont="1" applyFill="1" applyBorder="1" applyAlignment="1">
      <alignment horizontal="center" vertical="center" wrapText="1"/>
    </xf>
    <xf numFmtId="0" fontId="52" fillId="20" borderId="19" xfId="0" applyFont="1" applyFill="1" applyBorder="1" applyAlignment="1">
      <alignment horizontal="center" vertical="center" wrapText="1"/>
    </xf>
    <xf numFmtId="0" fontId="52" fillId="20" borderId="22" xfId="0" applyFont="1" applyFill="1" applyBorder="1" applyAlignment="1">
      <alignment horizontal="center" vertical="center" wrapText="1"/>
    </xf>
    <xf numFmtId="44" fontId="57" fillId="20" borderId="19" xfId="0" applyNumberFormat="1" applyFont="1" applyFill="1" applyBorder="1" applyAlignment="1">
      <alignment horizontal="center" vertical="center" wrapText="1"/>
    </xf>
    <xf numFmtId="0" fontId="57" fillId="20" borderId="18" xfId="0" applyFont="1" applyFill="1" applyBorder="1" applyAlignment="1">
      <alignment horizontal="center" vertical="center" wrapText="1"/>
    </xf>
    <xf numFmtId="0" fontId="57" fillId="20" borderId="2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</cellXfs>
  <cellStyles count="6">
    <cellStyle name="Ênfase6" xfId="1" builtinId="49"/>
    <cellStyle name="Hiperlink" xfId="2" builtinId="8"/>
    <cellStyle name="Moeda" xfId="3" builtinId="4"/>
    <cellStyle name="Normal" xfId="0" builtinId="0"/>
    <cellStyle name="Porcentagem" xfId="4" builtinId="5"/>
    <cellStyle name="Vírgula" xfId="5" builtinId="3"/>
  </cellStyles>
  <dxfs count="64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3" tint="0.39997558519241921"/>
        </patternFill>
      </fill>
      <protection locked="1" hidden="0"/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172" formatCode="[$-416]mmm\-yy;@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2" formatCode="[$-416]mmm\-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rgb="FF000000"/>
        </top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4" formatCode="[$-F400]h:mm:ss\ AM/PM"/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border outline="0">
        <top style="thin">
          <color theme="1"/>
        </top>
      </border>
    </dxf>
    <dxf>
      <fill>
        <patternFill patternType="none">
          <bgColor auto="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4" formatCode="[$-F400]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74" formatCode="[$-F400]h:mm:ss\ AM/PM"/>
      <alignment horizontal="center" vertical="bottom" textRotation="0" wrapText="0" indent="0" justifyLastLine="0" shrinkToFit="0" readingOrder="0"/>
    </dxf>
    <dxf>
      <numFmt numFmtId="17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74" formatCode="[$-F400]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74" formatCode="[$-F400]h:mm:ss\ AM/PM"/>
      <alignment horizontal="center" vertical="bottom" textRotation="0" wrapText="0" indent="0" justifyLastLine="0" shrinkToFit="0" readingOrder="0"/>
    </dxf>
    <dxf>
      <numFmt numFmtId="17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22" fmlaLink="$C$17" fmlaRange="$D$7:$D$16" noThreeD="1" sel="4" val="0"/>
</file>

<file path=xl/ctrlProps/ctrlProp2.xml><?xml version="1.0" encoding="utf-8"?>
<formControlPr xmlns="http://schemas.microsoft.com/office/spreadsheetml/2009/9/main" objectType="Drop" dropStyle="combo" dx="22" fmlaLink="Tarifas!$C$19" fmlaRange="Tarifas!$D$17:$D$20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104775</xdr:colOff>
      <xdr:row>6</xdr:row>
      <xdr:rowOff>171450</xdr:rowOff>
    </xdr:from>
    <xdr:to>
      <xdr:col>37</xdr:col>
      <xdr:colOff>161926</xdr:colOff>
      <xdr:row>10</xdr:row>
      <xdr:rowOff>9525</xdr:rowOff>
    </xdr:to>
    <xdr:pic>
      <xdr:nvPicPr>
        <xdr:cNvPr id="1025" name="Imagem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12395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161925</xdr:colOff>
      <xdr:row>1</xdr:row>
      <xdr:rowOff>180975</xdr:rowOff>
    </xdr:from>
    <xdr:to>
      <xdr:col>37</xdr:col>
      <xdr:colOff>295276</xdr:colOff>
      <xdr:row>5</xdr:row>
      <xdr:rowOff>142875</xdr:rowOff>
    </xdr:to>
    <xdr:pic>
      <xdr:nvPicPr>
        <xdr:cNvPr id="1026" name="Imagem 2" descr="D:\Users\c462152\AppData\Local\Microsoft\Windows\Temporary Internet Files\Content.Word\paulista_endos_pos_RGB.PN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352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133350</xdr:colOff>
      <xdr:row>16</xdr:row>
      <xdr:rowOff>95250</xdr:rowOff>
    </xdr:from>
    <xdr:to>
      <xdr:col>37</xdr:col>
      <xdr:colOff>304801</xdr:colOff>
      <xdr:row>20</xdr:row>
      <xdr:rowOff>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952750"/>
          <a:ext cx="1390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133350</xdr:colOff>
      <xdr:row>10</xdr:row>
      <xdr:rowOff>161925</xdr:rowOff>
    </xdr:from>
    <xdr:to>
      <xdr:col>37</xdr:col>
      <xdr:colOff>542926</xdr:colOff>
      <xdr:row>14</xdr:row>
      <xdr:rowOff>152400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876425"/>
          <a:ext cx="1628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0</xdr:rowOff>
        </xdr:from>
        <xdr:to>
          <xdr:col>4</xdr:col>
          <xdr:colOff>0</xdr:colOff>
          <xdr:row>16</xdr:row>
          <xdr:rowOff>180975</xdr:rowOff>
        </xdr:to>
        <xdr:sp macro="" textlink="">
          <xdr:nvSpPr>
            <xdr:cNvPr id="73729" name="Drop Dow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</xdr:row>
          <xdr:rowOff>0</xdr:rowOff>
        </xdr:from>
        <xdr:to>
          <xdr:col>11</xdr:col>
          <xdr:colOff>533400</xdr:colOff>
          <xdr:row>2</xdr:row>
          <xdr:rowOff>180975</xdr:rowOff>
        </xdr:to>
        <xdr:sp macro="" textlink="">
          <xdr:nvSpPr>
            <xdr:cNvPr id="73732" name="Drop Down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6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77028</xdr:colOff>
      <xdr:row>15</xdr:row>
      <xdr:rowOff>165653</xdr:rowOff>
    </xdr:from>
    <xdr:to>
      <xdr:col>2</xdr:col>
      <xdr:colOff>91108</xdr:colOff>
      <xdr:row>17</xdr:row>
      <xdr:rowOff>33131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212E03CB-0C3A-E4EB-0438-687E4AC08738}"/>
            </a:ext>
          </a:extLst>
        </xdr:cNvPr>
        <xdr:cNvSpPr/>
      </xdr:nvSpPr>
      <xdr:spPr>
        <a:xfrm>
          <a:off x="77028" y="3122544"/>
          <a:ext cx="403363" cy="24847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144516</xdr:colOff>
      <xdr:row>19</xdr:row>
      <xdr:rowOff>6568</xdr:rowOff>
    </xdr:from>
    <xdr:to>
      <xdr:col>17</xdr:col>
      <xdr:colOff>426982</xdr:colOff>
      <xdr:row>20</xdr:row>
      <xdr:rowOff>6569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3A104BD7-1CF2-4BC5-813F-1A0D2AE04096}"/>
            </a:ext>
          </a:extLst>
        </xdr:cNvPr>
        <xdr:cNvSpPr/>
      </xdr:nvSpPr>
      <xdr:spPr>
        <a:xfrm flipH="1" flipV="1">
          <a:off x="14451723" y="3718034"/>
          <a:ext cx="282466" cy="190501"/>
        </a:xfrm>
        <a:prstGeom prst="rightArrow">
          <a:avLst>
            <a:gd name="adj1" fmla="val 50000"/>
            <a:gd name="adj2" fmla="val 51590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1440</xdr:rowOff>
    </xdr:from>
    <xdr:to>
      <xdr:col>0</xdr:col>
      <xdr:colOff>1113692</xdr:colOff>
      <xdr:row>15</xdr:row>
      <xdr:rowOff>39077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1538140"/>
          <a:ext cx="1113692" cy="151083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Histórico</a:t>
          </a:r>
          <a:r>
            <a:rPr lang="pt-BR" sz="1100" b="1" baseline="0"/>
            <a:t> de consumo e demanda dos últimos 12 meses, conforme definido no edital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402425</xdr:colOff>
      <xdr:row>18</xdr:row>
      <xdr:rowOff>97842</xdr:rowOff>
    </xdr:from>
    <xdr:to>
      <xdr:col>33</xdr:col>
      <xdr:colOff>47620</xdr:colOff>
      <xdr:row>20</xdr:row>
      <xdr:rowOff>110298</xdr:rowOff>
    </xdr:to>
    <xdr:pic>
      <xdr:nvPicPr>
        <xdr:cNvPr id="74761" name="Picture 33">
          <a:extLst>
            <a:ext uri="{FF2B5EF4-FFF2-40B4-BE49-F238E27FC236}">
              <a16:creationId xmlns:a16="http://schemas.microsoft.com/office/drawing/2014/main" id="{00000000-0008-0000-0900-000009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3863" y="3556608"/>
          <a:ext cx="859631" cy="405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229327</xdr:colOff>
      <xdr:row>18</xdr:row>
      <xdr:rowOff>60080</xdr:rowOff>
    </xdr:from>
    <xdr:to>
      <xdr:col>22</xdr:col>
      <xdr:colOff>201979</xdr:colOff>
      <xdr:row>20</xdr:row>
      <xdr:rowOff>87641</xdr:rowOff>
    </xdr:to>
    <xdr:pic>
      <xdr:nvPicPr>
        <xdr:cNvPr id="74762" name="Imagem 27" descr="D:\Users\c462152\AppData\Local\Microsoft\Windows\Temporary Internet Files\Content.Word\paulista_endos_pos_RGB.PNG">
          <a:extLst>
            <a:ext uri="{FF2B5EF4-FFF2-40B4-BE49-F238E27FC236}">
              <a16:creationId xmlns:a16="http://schemas.microsoft.com/office/drawing/2014/main" id="{00000000-0008-0000-0900-00000A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6374" y="3518846"/>
          <a:ext cx="722747" cy="42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157751</xdr:colOff>
      <xdr:row>18</xdr:row>
      <xdr:rowOff>106905</xdr:rowOff>
    </xdr:from>
    <xdr:to>
      <xdr:col>26</xdr:col>
      <xdr:colOff>191679</xdr:colOff>
      <xdr:row>20</xdr:row>
      <xdr:rowOff>78578</xdr:rowOff>
    </xdr:to>
    <xdr:pic>
      <xdr:nvPicPr>
        <xdr:cNvPr id="74763" name="Imagem 9">
          <a:extLst>
            <a:ext uri="{FF2B5EF4-FFF2-40B4-BE49-F238E27FC236}">
              <a16:creationId xmlns:a16="http://schemas.microsoft.com/office/drawing/2014/main" id="{00000000-0008-0000-0900-00000B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923" y="3565671"/>
          <a:ext cx="784022" cy="36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147450</xdr:colOff>
      <xdr:row>18</xdr:row>
      <xdr:rowOff>129563</xdr:rowOff>
    </xdr:from>
    <xdr:to>
      <xdr:col>29</xdr:col>
      <xdr:colOff>196624</xdr:colOff>
      <xdr:row>20</xdr:row>
      <xdr:rowOff>101236</xdr:rowOff>
    </xdr:to>
    <xdr:pic>
      <xdr:nvPicPr>
        <xdr:cNvPr id="74764" name="Imagem 10">
          <a:extLst>
            <a:ext uri="{FF2B5EF4-FFF2-40B4-BE49-F238E27FC236}">
              <a16:creationId xmlns:a16="http://schemas.microsoft.com/office/drawing/2014/main" id="{00000000-0008-0000-0900-00000C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747" y="3588329"/>
          <a:ext cx="793315" cy="36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161073</xdr:colOff>
      <xdr:row>14</xdr:row>
      <xdr:rowOff>39352</xdr:rowOff>
    </xdr:from>
    <xdr:to>
      <xdr:col>32</xdr:col>
      <xdr:colOff>80790</xdr:colOff>
      <xdr:row>19</xdr:row>
      <xdr:rowOff>83342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151" y="2706352"/>
          <a:ext cx="3378483" cy="10381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94971</xdr:colOff>
      <xdr:row>61</xdr:row>
      <xdr:rowOff>0</xdr:rowOff>
    </xdr:from>
    <xdr:to>
      <xdr:col>1</xdr:col>
      <xdr:colOff>223162</xdr:colOff>
      <xdr:row>63</xdr:row>
      <xdr:rowOff>174174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5D9AE800-BCFA-4F20-9C18-487581462F8B}"/>
            </a:ext>
          </a:extLst>
        </xdr:cNvPr>
        <xdr:cNvSpPr/>
      </xdr:nvSpPr>
      <xdr:spPr>
        <a:xfrm rot="5400000" flipH="1" flipV="1">
          <a:off x="322351" y="7071491"/>
          <a:ext cx="174174" cy="128191"/>
        </a:xfrm>
        <a:prstGeom prst="rightArrow">
          <a:avLst>
            <a:gd name="adj1" fmla="val 50000"/>
            <a:gd name="adj2" fmla="val 51590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409575</xdr:colOff>
          <xdr:row>12</xdr:row>
          <xdr:rowOff>114300</xdr:rowOff>
        </xdr:to>
        <xdr:sp macro="" textlink="">
          <xdr:nvSpPr>
            <xdr:cNvPr id="66561" name="ComboBox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5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105103</xdr:colOff>
      <xdr:row>1</xdr:row>
      <xdr:rowOff>164222</xdr:rowOff>
    </xdr:from>
    <xdr:to>
      <xdr:col>11</xdr:col>
      <xdr:colOff>585051</xdr:colOff>
      <xdr:row>13</xdr:row>
      <xdr:rowOff>38222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03" y="354722"/>
          <a:ext cx="720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158918</xdr:colOff>
      <xdr:row>13</xdr:row>
      <xdr:rowOff>69477</xdr:rowOff>
    </xdr:from>
    <xdr:to>
      <xdr:col>12</xdr:col>
      <xdr:colOff>119917</xdr:colOff>
      <xdr:row>25</xdr:row>
      <xdr:rowOff>30064</xdr:rowOff>
    </xdr:to>
    <xdr:pic>
      <xdr:nvPicPr>
        <xdr:cNvPr id="3" name="Imagem 2" descr="C:\Users\2006603\Documents\Meus Arquivos Recebidos\4906559C.PN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559"/>
        <a:stretch/>
      </xdr:blipFill>
      <xdr:spPr bwMode="auto">
        <a:xfrm>
          <a:off x="158918" y="2545977"/>
          <a:ext cx="7258614" cy="22465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pflenergia-my.sharepoint.com/personal/csippel_cpfl_com_br/Documents/&#193;rea%20de%20Trabalho/HOME%20OFFICE/CPP2022/Planilha%20-%20%20RCB%20CPP%202021_CD_rv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da"/>
      <sheetName val="Teste"/>
      <sheetName val="IP_Parâmetros"/>
      <sheetName val="Escolha tarifa"/>
      <sheetName val="CPFL"/>
      <sheetName val="Projeto"/>
      <sheetName val="RCB"/>
      <sheetName val="CustoContabil"/>
      <sheetName val="ContrDesemp"/>
      <sheetName val="IPCA"/>
      <sheetName val="M&amp;V"/>
      <sheetName val="Descarte"/>
      <sheetName val="IlumCusto"/>
      <sheetName val="IlumBenef"/>
      <sheetName val="SolarFVCusto"/>
      <sheetName val="SolarFVBenef"/>
      <sheetName val="MotorCusto"/>
      <sheetName val="MotorBenef"/>
      <sheetName val="SolarCusto"/>
      <sheetName val="SolarBenef"/>
      <sheetName val="CondAmbCusto"/>
      <sheetName val="CondAmbBenef"/>
      <sheetName val="RefrigCusto"/>
      <sheetName val="RefrigBenef"/>
      <sheetName val="OutrosCusto"/>
      <sheetName val="OutrosBenef"/>
      <sheetName val="Cronograma Físico"/>
      <sheetName val="Cronograma Financeiro"/>
    </sheetNames>
    <sheetDataSet>
      <sheetData sheetId="0"/>
      <sheetData sheetId="1"/>
      <sheetData sheetId="2"/>
      <sheetData sheetId="3"/>
      <sheetData sheetId="4">
        <row r="4">
          <cell r="AI4" t="str">
            <v>SELECIONE A TARIFA</v>
          </cell>
          <cell r="BD4" t="str">
            <v>ARACAJU</v>
          </cell>
        </row>
        <row r="5">
          <cell r="AI5" t="str">
            <v>CONVENCIONAL</v>
          </cell>
          <cell r="BD5" t="str">
            <v>BELÉM</v>
          </cell>
        </row>
        <row r="6">
          <cell r="AI6" t="str">
            <v>TARIFA VERDE</v>
          </cell>
          <cell r="BD6" t="str">
            <v>BELO HORIZONTE</v>
          </cell>
        </row>
        <row r="7">
          <cell r="AI7" t="str">
            <v>TARIFA AZUL</v>
          </cell>
          <cell r="BD7" t="str">
            <v>BRASÍLIA</v>
          </cell>
        </row>
        <row r="8">
          <cell r="AI8" t="str">
            <v>CONSUMIDOR LIVRE</v>
          </cell>
          <cell r="BD8" t="str">
            <v>CAMPO GRANDE</v>
          </cell>
        </row>
        <row r="9">
          <cell r="BD9" t="str">
            <v>CUIABÁ</v>
          </cell>
        </row>
        <row r="10">
          <cell r="BD10" t="str">
            <v>CURITIBA</v>
          </cell>
        </row>
        <row r="11">
          <cell r="BD11" t="str">
            <v>FLORIANÓPOLIS</v>
          </cell>
        </row>
        <row r="12">
          <cell r="BD12" t="str">
            <v>FORTALEZA</v>
          </cell>
        </row>
        <row r="13">
          <cell r="BD13" t="str">
            <v>GOIÂNIA</v>
          </cell>
        </row>
        <row r="14">
          <cell r="BD14" t="str">
            <v>JOÃO PESSOA</v>
          </cell>
        </row>
        <row r="15">
          <cell r="BD15" t="str">
            <v>MACAPÁ</v>
          </cell>
        </row>
        <row r="16">
          <cell r="BD16" t="str">
            <v>MACEIÓ</v>
          </cell>
        </row>
        <row r="17">
          <cell r="BD17" t="str">
            <v>MANAUS</v>
          </cell>
        </row>
        <row r="18">
          <cell r="BD18" t="str">
            <v>NATAL</v>
          </cell>
        </row>
        <row r="19">
          <cell r="BD19" t="str">
            <v>PORTO ALEGRE</v>
          </cell>
        </row>
        <row r="20">
          <cell r="BD20" t="str">
            <v>PORTO NACIONAL</v>
          </cell>
        </row>
        <row r="21">
          <cell r="BD21" t="str">
            <v>PORTO VELHO</v>
          </cell>
        </row>
        <row r="22">
          <cell r="BD22" t="str">
            <v>RECIFE</v>
          </cell>
        </row>
        <row r="23">
          <cell r="BD23" t="str">
            <v>RIBEIRÃO PRETO</v>
          </cell>
        </row>
        <row r="24">
          <cell r="BD24" t="str">
            <v>RIO DE JANEIRO</v>
          </cell>
        </row>
        <row r="25">
          <cell r="BD25" t="str">
            <v>SALVADOR</v>
          </cell>
        </row>
        <row r="26">
          <cell r="BD26" t="str">
            <v>SÃO LUÍS</v>
          </cell>
        </row>
        <row r="27">
          <cell r="BD27" t="str">
            <v>SÃO PAULO</v>
          </cell>
        </row>
        <row r="28">
          <cell r="BD28" t="str">
            <v>TERESINA</v>
          </cell>
        </row>
        <row r="29">
          <cell r="BD29" t="str">
            <v>VITÓRIA</v>
          </cell>
        </row>
      </sheetData>
      <sheetData sheetId="5">
        <row r="8">
          <cell r="AD8">
            <v>0.08</v>
          </cell>
        </row>
      </sheetData>
      <sheetData sheetId="6">
        <row r="7">
          <cell r="H7">
            <v>0.21</v>
          </cell>
        </row>
        <row r="29">
          <cell r="H29">
            <v>0</v>
          </cell>
          <cell r="K29">
            <v>0</v>
          </cell>
        </row>
        <row r="32">
          <cell r="G32">
            <v>0</v>
          </cell>
          <cell r="J32">
            <v>0</v>
          </cell>
        </row>
        <row r="35">
          <cell r="G35">
            <v>0</v>
          </cell>
          <cell r="J35">
            <v>0</v>
          </cell>
        </row>
      </sheetData>
      <sheetData sheetId="7">
        <row r="6">
          <cell r="D6">
            <v>2070000</v>
          </cell>
        </row>
        <row r="31">
          <cell r="D31">
            <v>0</v>
          </cell>
          <cell r="F31">
            <v>0</v>
          </cell>
        </row>
        <row r="45">
          <cell r="D45">
            <v>0</v>
          </cell>
          <cell r="F45">
            <v>0</v>
          </cell>
        </row>
      </sheetData>
      <sheetData sheetId="8"/>
      <sheetData sheetId="9"/>
      <sheetData sheetId="10">
        <row r="399">
          <cell r="M399">
            <v>0</v>
          </cell>
        </row>
        <row r="790"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874"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</sheetData>
      <sheetData sheetId="11">
        <row r="54">
          <cell r="K54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1:G389" totalsRowShown="0" headerRowDxfId="644">
  <autoFilter ref="A1:G389" xr:uid="{00000000-0009-0000-0100-000004000000}"/>
  <tableColumns count="7">
    <tableColumn id="1" xr3:uid="{00000000-0010-0000-0000-000001000000}" name="Distribuidora"/>
    <tableColumn id="2" xr3:uid="{00000000-0010-0000-0000-000002000000}" name="ESTADO"/>
    <tableColumn id="3" xr3:uid="{00000000-0010-0000-0000-000003000000}" name="MUNICÍPIO"/>
    <tableColumn id="4" xr3:uid="{00000000-0010-0000-0000-000004000000}" name="Nome">
      <calculatedColumnFormula>CONCATENATE(B2," - ",C2)</calculatedColumnFormula>
    </tableColumn>
    <tableColumn id="5" xr3:uid="{00000000-0010-0000-0000-000005000000}" name="Horas" dataDxfId="643">
      <calculatedColumnFormula>VLOOKUP(D2,'Res Nº5.290'!A:B,2,)</calculatedColumnFormula>
    </tableColumn>
    <tableColumn id="7" xr3:uid="{00000000-0010-0000-0000-000007000000}" name="Tempo de utilização" dataDxfId="642">
      <calculatedColumnFormula>(Tabela4[[#This Row],[Horas]]-INT(Tabela4[[#This Row],[Horas]]))*24</calculatedColumnFormula>
    </tableColumn>
    <tableColumn id="6" xr3:uid="{00000000-0010-0000-0000-000006000000}" name="Utilização pon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I1:O235" totalsRowShown="0" headerRowDxfId="641">
  <autoFilter ref="I1:O235" xr:uid="{00000000-0009-0000-0100-000005000000}"/>
  <tableColumns count="7">
    <tableColumn id="1" xr3:uid="{00000000-0010-0000-0100-000001000000}" name="Distribuidora"/>
    <tableColumn id="2" xr3:uid="{00000000-0010-0000-0100-000002000000}" name="ESTADO"/>
    <tableColumn id="3" xr3:uid="{00000000-0010-0000-0100-000003000000}" name="MUNICÍPIO"/>
    <tableColumn id="4" xr3:uid="{00000000-0010-0000-0100-000004000000}" name="Nome" dataDxfId="640" dataCellStyle="Vírgula">
      <calculatedColumnFormula>CONCATENATE(J2," - ",K2)</calculatedColumnFormula>
    </tableColumn>
    <tableColumn id="5" xr3:uid="{00000000-0010-0000-0100-000005000000}" name="Horas" dataDxfId="639">
      <calculatedColumnFormula>VLOOKUP(L2,'Res Nº5.290'!A:B,2,FALSE)</calculatedColumnFormula>
    </tableColumn>
    <tableColumn id="8" xr3:uid="{00000000-0010-0000-0100-000008000000}" name="Tempo de utilização" dataCellStyle="Vírgula">
      <calculatedColumnFormula>(Tabela5[[#This Row],[Horas]]-INT(Tabela5[[#This Row],[Horas]]))*24</calculatedColumnFormula>
    </tableColumn>
    <tableColumn id="6" xr3:uid="{00000000-0010-0000-0100-000006000000}" name="Utilização pont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6" displayName="Tabela6" ref="Y1:AE46" totalsRowShown="0" headerRowDxfId="638">
  <autoFilter ref="Y1:AE46" xr:uid="{00000000-0009-0000-0100-000006000000}"/>
  <tableColumns count="7">
    <tableColumn id="1" xr3:uid="{00000000-0010-0000-0200-000001000000}" name="Distribuidora"/>
    <tableColumn id="2" xr3:uid="{00000000-0010-0000-0200-000002000000}" name="ESTADO"/>
    <tableColumn id="3" xr3:uid="{00000000-0010-0000-0200-000003000000}" name="MUNICÍPIO"/>
    <tableColumn id="4" xr3:uid="{00000000-0010-0000-0200-000004000000}" name="Nome">
      <calculatedColumnFormula>CONCATENATE(Z2," - ",AA2)</calculatedColumnFormula>
    </tableColumn>
    <tableColumn id="5" xr3:uid="{00000000-0010-0000-0200-000005000000}" name="Horas" dataDxfId="637">
      <calculatedColumnFormula>VLOOKUP(AB2,'Res Nº5.290'!A:B,2,FALSE)</calculatedColumnFormula>
    </tableColumn>
    <tableColumn id="7" xr3:uid="{00000000-0010-0000-0200-000007000000}" name="Tempo de utilização" dataDxfId="636">
      <calculatedColumnFormula>(Tabela6[[#This Row],[Horas]]-INT(Tabela6[[#This Row],[Horas]]))*24</calculatedColumnFormula>
    </tableColumn>
    <tableColumn id="6" xr3:uid="{00000000-0010-0000-0200-000006000000}" name="Utilização pont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7" displayName="Tabela7" ref="Q1:W28" totalsRowShown="0" headerRowDxfId="635">
  <autoFilter ref="Q1:W28" xr:uid="{00000000-0009-0000-0100-000007000000}"/>
  <tableColumns count="7">
    <tableColumn id="1" xr3:uid="{00000000-0010-0000-0300-000001000000}" name="Distribuidora"/>
    <tableColumn id="2" xr3:uid="{00000000-0010-0000-0300-000002000000}" name="ESTADO"/>
    <tableColumn id="3" xr3:uid="{00000000-0010-0000-0300-000003000000}" name="MUNICÍPIO"/>
    <tableColumn id="4" xr3:uid="{00000000-0010-0000-0300-000004000000}" name="Nome">
      <calculatedColumnFormula>CONCATENATE(R2," - ",S2)</calculatedColumnFormula>
    </tableColumn>
    <tableColumn id="5" xr3:uid="{00000000-0010-0000-0300-000005000000}" name="Horas" dataDxfId="634" dataCellStyle="Vírgula">
      <calculatedColumnFormula>VLOOKUP(T2,'Res Nº5.290'!A:B,2,FALSE)</calculatedColumnFormula>
    </tableColumn>
    <tableColumn id="7" xr3:uid="{00000000-0010-0000-0300-000007000000}" name="Tempo de utilização" dataDxfId="633" dataCellStyle="Vírgula">
      <calculatedColumnFormula>(Tabela7[[#This Row],[Horas]]-INT(Tabela7[[#This Row],[Horas]]))*24</calculatedColumnFormula>
    </tableColumn>
    <tableColumn id="6" xr3:uid="{00000000-0010-0000-0300-000006000000}" name="Utilização pont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Isso" displayName="Isso" ref="A1:B2395" totalsRowShown="0" headerRowDxfId="632" dataDxfId="630" headerRowBorderDxfId="631" tableBorderDxfId="629">
  <autoFilter ref="A1:B2395" xr:uid="{00000000-0009-0000-0100-000003000000}">
    <filterColumn colId="0">
      <filters>
        <filter val="RS - SANT'ANA DO LIVRAMENTO"/>
      </filters>
    </filterColumn>
  </autoFilter>
  <tableColumns count="2">
    <tableColumn id="2" xr3:uid="{00000000-0010-0000-0400-000002000000}" name="Cidade" dataDxfId="628"/>
    <tableColumn id="3" xr3:uid="{00000000-0010-0000-0400-000003000000}" name="Tempo de utilização" dataDxfId="6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onsumo_energia_UC110" displayName="Consumo_energia_UC110" ref="B9:E22" totalsRowCount="1" headerRowDxfId="626" dataDxfId="624" totalsRowDxfId="622" headerRowBorderDxfId="625" tableBorderDxfId="623">
  <autoFilter ref="B9:E21" xr:uid="{00000000-0009-0000-0100-000002000000}"/>
  <tableColumns count="4">
    <tableColumn id="1" xr3:uid="{00000000-0010-0000-0500-000001000000}" name="Periodo" totalsRowLabel="Média" dataDxfId="621" totalsRowDxfId="620"/>
    <tableColumn id="2" xr3:uid="{00000000-0010-0000-0500-000002000000}" name="Consumo Ponta [a]" totalsRowFunction="average" dataDxfId="619" totalsRowDxfId="618" dataCellStyle="Vírgula"/>
    <tableColumn id="3" xr3:uid="{00000000-0010-0000-0500-000003000000}" name="Consumo Fora Ponta [b]" totalsRowFunction="average" dataDxfId="617" totalsRowDxfId="616" dataCellStyle="Vírgula"/>
    <tableColumn id="4" xr3:uid="{00000000-0010-0000-0500-000004000000}" name="Consumo total (kWh/mês)" totalsRowFunction="sum" dataDxfId="615" totalsRowDxfId="614">
      <calculatedColumnFormula>UCs!C10+UCs!D10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6000000}" name="Tabela2623930" displayName="Tabela2623930" ref="B25:E38" totalsRowCount="1" headerRowDxfId="613" dataDxfId="612" totalsRowDxfId="611">
  <autoFilter ref="B25:E37" xr:uid="{00000000-0009-0000-0100-00001D000000}"/>
  <tableColumns count="4">
    <tableColumn id="1" xr3:uid="{00000000-0010-0000-0600-000001000000}" name="Periodo" totalsRowLabel="Média" dataDxfId="610" totalsRowDxfId="609"/>
    <tableColumn id="2" xr3:uid="{00000000-0010-0000-0600-000002000000}" name="Demanda Ponta [a]" totalsRowFunction="sum" dataDxfId="608" totalsRowDxfId="607" dataCellStyle="Vírgula"/>
    <tableColumn id="3" xr3:uid="{00000000-0010-0000-0600-000003000000}" name="Demanda Fora Ponta [b]" totalsRowFunction="sum" dataDxfId="606" totalsRowDxfId="605" dataCellStyle="Vírgula"/>
    <tableColumn id="4" xr3:uid="{00000000-0010-0000-0600-000004000000}" name="Demanda total (kW/mês)" totalsRowFunction="average" dataDxfId="604" totalsRowDxfId="603">
      <calculatedColumnFormula>UCs!C26+UCs!D26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Consumo_energia_UC11010" displayName="Consumo_energia_UC11010" ref="G9:J22" totalsRowCount="1" headerRowDxfId="602" dataDxfId="600" totalsRowDxfId="598" headerRowBorderDxfId="601" tableBorderDxfId="599">
  <autoFilter ref="G9:J21" xr:uid="{00000000-0009-0000-0100-000009000000}"/>
  <tableColumns count="4">
    <tableColumn id="1" xr3:uid="{00000000-0010-0000-0700-000001000000}" name="Periodo" totalsRowLabel="Média" dataDxfId="597" totalsRowDxfId="596"/>
    <tableColumn id="2" xr3:uid="{00000000-0010-0000-0700-000002000000}" name="Consumo Ponta [a]" totalsRowFunction="average" dataDxfId="595" totalsRowDxfId="594" dataCellStyle="Vírgula"/>
    <tableColumn id="3" xr3:uid="{00000000-0010-0000-0700-000003000000}" name="Consumo Fora Ponta [b]" totalsRowFunction="average" dataDxfId="593" totalsRowDxfId="592" dataCellStyle="Vírgula"/>
    <tableColumn id="4" xr3:uid="{00000000-0010-0000-0700-000004000000}" name="Consumo total (kWh/mês)" totalsRowFunction="sum" dataDxfId="591" totalsRowDxfId="590">
      <calculatedColumnFormula>UCs!H10+UCs!I10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262393011" displayName="Tabela262393011" ref="G25:J38" totalsRowCount="1" headerRowDxfId="589" dataDxfId="588" totalsRowDxfId="587">
  <autoFilter ref="G25:J37" xr:uid="{00000000-0009-0000-0100-00000A000000}"/>
  <tableColumns count="4">
    <tableColumn id="1" xr3:uid="{00000000-0010-0000-0800-000001000000}" name="Periodo" totalsRowLabel="Média" dataDxfId="586" totalsRowDxfId="585"/>
    <tableColumn id="2" xr3:uid="{00000000-0010-0000-0800-000002000000}" name="Demanda Ponta [a]" totalsRowFunction="sum" dataDxfId="584" totalsRowDxfId="583" dataCellStyle="Vírgula"/>
    <tableColumn id="3" xr3:uid="{00000000-0010-0000-0800-000003000000}" name="Demanda Fora Ponta [b]" totalsRowFunction="sum" dataDxfId="582" totalsRowDxfId="581" dataCellStyle="Vírgula"/>
    <tableColumn id="4" xr3:uid="{00000000-0010-0000-0800-000004000000}" name="Demanda total (kW/mês)" totalsRowFunction="average" dataDxfId="580" totalsRowDxfId="579">
      <calculatedColumnFormula>UCs!H26+UCs!I26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Consumo_energia_UC11012" displayName="Consumo_energia_UC11012" ref="L9:O22" totalsRowCount="1" headerRowDxfId="578" dataDxfId="576" totalsRowDxfId="574" headerRowBorderDxfId="577" tableBorderDxfId="575">
  <autoFilter ref="L9:O21" xr:uid="{00000000-0009-0000-0100-00000B000000}"/>
  <tableColumns count="4">
    <tableColumn id="1" xr3:uid="{00000000-0010-0000-0900-000001000000}" name="Periodo" totalsRowLabel="Média" dataDxfId="573" totalsRowDxfId="572"/>
    <tableColumn id="2" xr3:uid="{00000000-0010-0000-0900-000002000000}" name="Consumo Ponta [a]" totalsRowFunction="average" dataDxfId="571" totalsRowDxfId="570" dataCellStyle="Vírgula"/>
    <tableColumn id="3" xr3:uid="{00000000-0010-0000-0900-000003000000}" name="Consumo Fora Ponta [b]" totalsRowFunction="average" dataDxfId="569" totalsRowDxfId="568" dataCellStyle="Vírgula"/>
    <tableColumn id="4" xr3:uid="{00000000-0010-0000-0900-000004000000}" name="Consumo total (kWh/mês)" totalsRowFunction="sum" dataDxfId="567" totalsRowDxfId="566">
      <calculatedColumnFormula>UCs!M10+UCs!N10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ela262393013" displayName="Tabela262393013" ref="L25:O38" totalsRowCount="1" headerRowDxfId="565" dataDxfId="564" totalsRowDxfId="563">
  <autoFilter ref="L25:O37" xr:uid="{00000000-0009-0000-0100-00000C000000}"/>
  <tableColumns count="4">
    <tableColumn id="1" xr3:uid="{00000000-0010-0000-0A00-000001000000}" name="Periodo" totalsRowLabel="Média" dataDxfId="562" totalsRowDxfId="561"/>
    <tableColumn id="2" xr3:uid="{00000000-0010-0000-0A00-000002000000}" name="Demanda Ponta [a]" totalsRowFunction="sum" dataDxfId="560" totalsRowDxfId="559" dataCellStyle="Vírgula"/>
    <tableColumn id="3" xr3:uid="{00000000-0010-0000-0A00-000003000000}" name="Demanda Fora Ponta [b]" totalsRowFunction="sum" dataDxfId="558" totalsRowDxfId="557" dataCellStyle="Vírgula"/>
    <tableColumn id="4" xr3:uid="{00000000-0010-0000-0A00-000004000000}" name="Demanda total (kW/mês)" totalsRowFunction="average" dataDxfId="556" totalsRowDxfId="555">
      <calculatedColumnFormula>UCs!M26+UCs!N26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onsumo_energia_UC11014" displayName="Consumo_energia_UC11014" ref="Q9:T22" totalsRowCount="1" headerRowDxfId="554" dataDxfId="552" totalsRowDxfId="550" headerRowBorderDxfId="553" tableBorderDxfId="551">
  <autoFilter ref="Q9:T21" xr:uid="{00000000-0009-0000-0100-00000D000000}"/>
  <tableColumns count="4">
    <tableColumn id="1" xr3:uid="{00000000-0010-0000-0B00-000001000000}" name="Periodo" totalsRowLabel="Média" dataDxfId="549" totalsRowDxfId="548"/>
    <tableColumn id="2" xr3:uid="{00000000-0010-0000-0B00-000002000000}" name="Consumo Ponta [a]" totalsRowFunction="average" dataDxfId="547" totalsRowDxfId="546" dataCellStyle="Vírgula"/>
    <tableColumn id="3" xr3:uid="{00000000-0010-0000-0B00-000003000000}" name="Consumo Fora Ponta [b]" totalsRowFunction="average" dataDxfId="545" totalsRowDxfId="544" dataCellStyle="Vírgula"/>
    <tableColumn id="4" xr3:uid="{00000000-0010-0000-0B00-000004000000}" name="Consumo total (kWh/mês)" totalsRowFunction="sum" dataDxfId="543" totalsRowDxfId="542">
      <calculatedColumnFormula>UCs!R10+UCs!S10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ela262393015" displayName="Tabela262393015" ref="Q25:T38" totalsRowCount="1" headerRowDxfId="541" dataDxfId="540" totalsRowDxfId="539">
  <autoFilter ref="Q25:T37" xr:uid="{00000000-0009-0000-0100-00000E000000}"/>
  <tableColumns count="4">
    <tableColumn id="1" xr3:uid="{00000000-0010-0000-0C00-000001000000}" name="Periodo" totalsRowLabel="Média" dataDxfId="538" totalsRowDxfId="537"/>
    <tableColumn id="2" xr3:uid="{00000000-0010-0000-0C00-000002000000}" name="Demanda Ponta [a]" totalsRowFunction="sum" dataDxfId="536" totalsRowDxfId="535" dataCellStyle="Vírgula"/>
    <tableColumn id="3" xr3:uid="{00000000-0010-0000-0C00-000003000000}" name="Demanda Fora Ponta [b]" totalsRowFunction="sum" dataDxfId="534" totalsRowDxfId="533" dataCellStyle="Vírgula"/>
    <tableColumn id="4" xr3:uid="{00000000-0010-0000-0C00-000004000000}" name="Demanda total (kW/mês)" totalsRowFunction="average" dataDxfId="532" totalsRowDxfId="531">
      <calculatedColumnFormula>UCs!R26+UCs!S26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onsumo_energia_UC11016" displayName="Consumo_energia_UC11016" ref="V9:Y22" totalsRowCount="1" headerRowDxfId="530" dataDxfId="528" totalsRowDxfId="526" headerRowBorderDxfId="529" tableBorderDxfId="527">
  <autoFilter ref="V9:Y21" xr:uid="{00000000-0009-0000-0100-00000F000000}"/>
  <tableColumns count="4">
    <tableColumn id="1" xr3:uid="{00000000-0010-0000-0D00-000001000000}" name="Periodo" totalsRowLabel="Média" dataDxfId="525" totalsRowDxfId="524"/>
    <tableColumn id="2" xr3:uid="{00000000-0010-0000-0D00-000002000000}" name="Consumo Ponta [a]" totalsRowFunction="average" dataDxfId="523" totalsRowDxfId="522" dataCellStyle="Vírgula"/>
    <tableColumn id="3" xr3:uid="{00000000-0010-0000-0D00-000003000000}" name="Consumo Fora Ponta [b]" totalsRowFunction="average" dataDxfId="521" totalsRowDxfId="520" dataCellStyle="Vírgula"/>
    <tableColumn id="4" xr3:uid="{00000000-0010-0000-0D00-000004000000}" name="Consumo total (kWh/mês)" totalsRowFunction="sum" dataDxfId="519" totalsRowDxfId="518">
      <calculatedColumnFormula>UCs!W10+UCs!X10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ela262393017" displayName="Tabela262393017" ref="V25:Y38" totalsRowCount="1" headerRowDxfId="517" dataDxfId="516" totalsRowDxfId="515">
  <autoFilter ref="V25:Y37" xr:uid="{00000000-0009-0000-0100-000010000000}"/>
  <tableColumns count="4">
    <tableColumn id="1" xr3:uid="{00000000-0010-0000-0E00-000001000000}" name="Periodo" totalsRowLabel="Média" dataDxfId="514" totalsRowDxfId="513"/>
    <tableColumn id="2" xr3:uid="{00000000-0010-0000-0E00-000002000000}" name="Demanda Ponta [a]" totalsRowFunction="sum" dataDxfId="512" totalsRowDxfId="511" dataCellStyle="Vírgula"/>
    <tableColumn id="3" xr3:uid="{00000000-0010-0000-0E00-000003000000}" name="Demanda Fora Ponta [b]" totalsRowFunction="sum" dataDxfId="510" totalsRowDxfId="509" dataCellStyle="Vírgula"/>
    <tableColumn id="4" xr3:uid="{00000000-0010-0000-0E00-000004000000}" name="Demanda total (kW/mês)" totalsRowFunction="average" dataDxfId="508" totalsRowDxfId="507">
      <calculatedColumnFormula>UCs!W26+UCs!X26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onsumo_energia_UC1101618" displayName="Consumo_energia_UC1101618" ref="AA9:AD22" totalsRowCount="1" headerRowDxfId="506" dataDxfId="504" totalsRowDxfId="502" headerRowBorderDxfId="505" tableBorderDxfId="503">
  <autoFilter ref="AA9:AD21" xr:uid="{00000000-0009-0000-0100-000011000000}"/>
  <tableColumns count="4">
    <tableColumn id="1" xr3:uid="{00000000-0010-0000-0F00-000001000000}" name="Periodo" totalsRowLabel="Média" dataDxfId="501" totalsRowDxfId="500"/>
    <tableColumn id="2" xr3:uid="{00000000-0010-0000-0F00-000002000000}" name="Consumo Ponta [a]" totalsRowFunction="average" dataDxfId="499" totalsRowDxfId="498" dataCellStyle="Vírgula"/>
    <tableColumn id="3" xr3:uid="{00000000-0010-0000-0F00-000003000000}" name="Consumo Fora Ponta [b]" totalsRowFunction="average" dataDxfId="497" totalsRowDxfId="496" dataCellStyle="Vírgula"/>
    <tableColumn id="4" xr3:uid="{00000000-0010-0000-0F00-000004000000}" name="Consumo total (kWh/mês)" totalsRowFunction="sum" dataDxfId="495" totalsRowDxfId="494">
      <calculatedColumnFormula>UCs!AB10+UCs!AC10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ela26239301719" displayName="Tabela26239301719" ref="AA25:AD38" totalsRowCount="1" headerRowDxfId="493" dataDxfId="492" totalsRowDxfId="491">
  <autoFilter ref="AA25:AD37" xr:uid="{00000000-0009-0000-0100-000012000000}"/>
  <tableColumns count="4">
    <tableColumn id="1" xr3:uid="{00000000-0010-0000-1000-000001000000}" name="Periodo" totalsRowLabel="Média" dataDxfId="490" totalsRowDxfId="489"/>
    <tableColumn id="2" xr3:uid="{00000000-0010-0000-1000-000002000000}" name="Demanda Ponta [a]" totalsRowFunction="sum" dataDxfId="488" totalsRowDxfId="487" dataCellStyle="Vírgula"/>
    <tableColumn id="3" xr3:uid="{00000000-0010-0000-1000-000003000000}" name="Demanda Fora Ponta [b]" totalsRowFunction="sum" dataDxfId="486" totalsRowDxfId="485" dataCellStyle="Vírgula"/>
    <tableColumn id="4" xr3:uid="{00000000-0010-0000-1000-000004000000}" name="Demanda total (kW/mês)" totalsRowFunction="average" dataDxfId="484" totalsRowDxfId="483">
      <calculatedColumnFormula>UCs!AB26+UCs!AC26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onsumo_energia_UC1101620" displayName="Consumo_energia_UC1101620" ref="AF9:AI22" totalsRowCount="1" headerRowDxfId="482" dataDxfId="480" totalsRowDxfId="478" headerRowBorderDxfId="481" tableBorderDxfId="479">
  <autoFilter ref="AF9:AI21" xr:uid="{00000000-0009-0000-0100-000013000000}"/>
  <tableColumns count="4">
    <tableColumn id="1" xr3:uid="{00000000-0010-0000-1100-000001000000}" name="Periodo" totalsRowLabel="Média" dataDxfId="477" totalsRowDxfId="476"/>
    <tableColumn id="2" xr3:uid="{00000000-0010-0000-1100-000002000000}" name="Consumo Ponta [a]" totalsRowFunction="average" dataDxfId="475" totalsRowDxfId="474" dataCellStyle="Vírgula"/>
    <tableColumn id="3" xr3:uid="{00000000-0010-0000-1100-000003000000}" name="Consumo Fora Ponta [b]" totalsRowFunction="average" dataDxfId="473" totalsRowDxfId="472" dataCellStyle="Vírgula"/>
    <tableColumn id="4" xr3:uid="{00000000-0010-0000-1100-000004000000}" name="Consumo total (kWh/mês)" totalsRowFunction="sum" dataDxfId="471" totalsRowDxfId="470">
      <calculatedColumnFormula>UCs!AG10+UCs!AH10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ela26239301721" displayName="Tabela26239301721" ref="AF25:AI38" totalsRowCount="1" headerRowDxfId="469" dataDxfId="468" totalsRowDxfId="467">
  <autoFilter ref="AF25:AI37" xr:uid="{00000000-0009-0000-0100-000014000000}"/>
  <tableColumns count="4">
    <tableColumn id="1" xr3:uid="{00000000-0010-0000-1200-000001000000}" name="Periodo" totalsRowLabel="Média" dataDxfId="466" totalsRowDxfId="465"/>
    <tableColumn id="2" xr3:uid="{00000000-0010-0000-1200-000002000000}" name="Demanda Ponta [a]" totalsRowFunction="sum" dataDxfId="464" totalsRowDxfId="463" dataCellStyle="Vírgula"/>
    <tableColumn id="3" xr3:uid="{00000000-0010-0000-1200-000003000000}" name="Demanda Fora Ponta [b]" totalsRowFunction="sum" dataDxfId="462" totalsRowDxfId="461" dataCellStyle="Vírgula"/>
    <tableColumn id="4" xr3:uid="{00000000-0010-0000-1200-000004000000}" name="Demanda total (kW/mês)" totalsRowFunction="average" dataDxfId="460" totalsRowDxfId="459">
      <calculatedColumnFormula>UCs!AG26+UCs!AH26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Consumo_energia_UC1101625" displayName="Consumo_energia_UC1101625" ref="AK9:AN22" totalsRowCount="1" headerRowDxfId="458" dataDxfId="456" totalsRowDxfId="454" headerRowBorderDxfId="457" tableBorderDxfId="455">
  <autoFilter ref="AK9:AN21" xr:uid="{00000000-0009-0000-0100-000018000000}"/>
  <tableColumns count="4">
    <tableColumn id="1" xr3:uid="{00000000-0010-0000-1300-000001000000}" name="Periodo" totalsRowLabel="Média" dataDxfId="453" totalsRowDxfId="452"/>
    <tableColumn id="2" xr3:uid="{00000000-0010-0000-1300-000002000000}" name="Consumo Ponta [a]" totalsRowFunction="average" dataDxfId="451" totalsRowDxfId="450" dataCellStyle="Vírgula"/>
    <tableColumn id="3" xr3:uid="{00000000-0010-0000-1300-000003000000}" name="Consumo Fora Ponta [b]" totalsRowFunction="average" dataDxfId="449" totalsRowDxfId="448" dataCellStyle="Vírgula"/>
    <tableColumn id="4" xr3:uid="{00000000-0010-0000-1300-000004000000}" name="Consumo total (kWh/mês)" totalsRowFunction="sum" dataDxfId="447" totalsRowDxfId="446">
      <calculatedColumnFormula>UCs!AL10+UCs!AM10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ela26239301726" displayName="Tabela26239301726" ref="AK25:AN38" totalsRowCount="1" headerRowDxfId="445" dataDxfId="444" totalsRowDxfId="443">
  <autoFilter ref="AK25:AN37" xr:uid="{00000000-0009-0000-0100-000019000000}"/>
  <tableColumns count="4">
    <tableColumn id="1" xr3:uid="{00000000-0010-0000-1400-000001000000}" name="Periodo" totalsRowLabel="Média" dataDxfId="442" totalsRowDxfId="441"/>
    <tableColumn id="2" xr3:uid="{00000000-0010-0000-1400-000002000000}" name="Demanda Ponta [a]" totalsRowFunction="sum" dataDxfId="440" totalsRowDxfId="439" dataCellStyle="Vírgula"/>
    <tableColumn id="3" xr3:uid="{00000000-0010-0000-1400-000003000000}" name="Demanda Fora Ponta [b]" totalsRowFunction="sum" dataDxfId="438" totalsRowDxfId="437" dataCellStyle="Vírgula"/>
    <tableColumn id="4" xr3:uid="{00000000-0010-0000-1400-000004000000}" name="Demanda total (kW/mês)" totalsRowFunction="average" dataDxfId="436" totalsRowDxfId="435">
      <calculatedColumnFormula>UCs!AL26+UCs!AM26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Consumo_energia_UC1101627" displayName="Consumo_energia_UC1101627" ref="AP9:AS22" totalsRowCount="1" headerRowDxfId="434" dataDxfId="432" totalsRowDxfId="430" headerRowBorderDxfId="433" tableBorderDxfId="431">
  <autoFilter ref="AP9:AS21" xr:uid="{00000000-0009-0000-0100-00001A000000}"/>
  <tableColumns count="4">
    <tableColumn id="1" xr3:uid="{00000000-0010-0000-1500-000001000000}" name="Periodo" totalsRowLabel="Média" dataDxfId="429" totalsRowDxfId="428"/>
    <tableColumn id="2" xr3:uid="{00000000-0010-0000-1500-000002000000}" name="Consumo Ponta [a]" totalsRowFunction="average" dataDxfId="427" totalsRowDxfId="426" dataCellStyle="Vírgula"/>
    <tableColumn id="3" xr3:uid="{00000000-0010-0000-1500-000003000000}" name="Consumo Fora Ponta [b]" totalsRowFunction="average" dataDxfId="425" totalsRowDxfId="424" dataCellStyle="Vírgula"/>
    <tableColumn id="4" xr3:uid="{00000000-0010-0000-1500-000004000000}" name="Consumo total (kWh/mês)" totalsRowFunction="sum" dataDxfId="423" totalsRowDxfId="422">
      <calculatedColumnFormula>UCs!AQ10+UCs!AR10</calculatedColumnFormula>
    </tableColumn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ela26239301728" displayName="Tabela26239301728" ref="AP25:AS38" totalsRowCount="1" headerRowDxfId="421" dataDxfId="420" totalsRowDxfId="419">
  <autoFilter ref="AP25:AS37" xr:uid="{00000000-0009-0000-0100-00001B000000}"/>
  <tableColumns count="4">
    <tableColumn id="1" xr3:uid="{00000000-0010-0000-1600-000001000000}" name="Periodo" totalsRowLabel="Média" dataDxfId="418" totalsRowDxfId="417"/>
    <tableColumn id="2" xr3:uid="{00000000-0010-0000-1600-000002000000}" name="Demanda Ponta [a]" totalsRowFunction="sum" dataDxfId="416" totalsRowDxfId="415" dataCellStyle="Vírgula"/>
    <tableColumn id="3" xr3:uid="{00000000-0010-0000-1600-000003000000}" name="Demanda Fora Ponta [b]" totalsRowFunction="sum" dataDxfId="414" totalsRowDxfId="413" dataCellStyle="Vírgula"/>
    <tableColumn id="4" xr3:uid="{00000000-0010-0000-1600-000004000000}" name="Demanda total (kW/mês)" totalsRowFunction="average" dataDxfId="412" totalsRowDxfId="411">
      <calculatedColumnFormula>UCs!AQ26+UCs!AR26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Consumo_energia_UC1101629" displayName="Consumo_energia_UC1101629" ref="AU9:AX22" totalsRowCount="1" headerRowDxfId="410" dataDxfId="408" totalsRowDxfId="406" headerRowBorderDxfId="409" tableBorderDxfId="407">
  <autoFilter ref="AU9:AX21" xr:uid="{00000000-0009-0000-0100-00001C000000}"/>
  <tableColumns count="4">
    <tableColumn id="1" xr3:uid="{00000000-0010-0000-1700-000001000000}" name="Periodo" totalsRowLabel="Média" dataDxfId="405" totalsRowDxfId="404"/>
    <tableColumn id="2" xr3:uid="{00000000-0010-0000-1700-000002000000}" name="Consumo Ponta [a]" totalsRowFunction="average" dataDxfId="403" totalsRowDxfId="402" dataCellStyle="Vírgula"/>
    <tableColumn id="3" xr3:uid="{00000000-0010-0000-1700-000003000000}" name="Consumo Fora Ponta [b]" totalsRowFunction="average" dataDxfId="401" totalsRowDxfId="400" dataCellStyle="Vírgula"/>
    <tableColumn id="4" xr3:uid="{00000000-0010-0000-1700-000004000000}" name="Consumo total (kWh/mês)" totalsRowFunction="sum" dataDxfId="399" totalsRowDxfId="398">
      <calculatedColumnFormula>UCs!AV10+UCs!AW10</calculatedColumnFormula>
    </tableColumn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8000000}" name="Tabela26239301731" displayName="Tabela26239301731" ref="AU25:AX38" totalsRowCount="1" headerRowDxfId="397" dataDxfId="396" totalsRowDxfId="395">
  <autoFilter ref="AU25:AX37" xr:uid="{00000000-0009-0000-0100-00001E000000}"/>
  <tableColumns count="4">
    <tableColumn id="1" xr3:uid="{00000000-0010-0000-1800-000001000000}" name="Periodo" totalsRowLabel="Média" dataDxfId="394" totalsRowDxfId="393"/>
    <tableColumn id="2" xr3:uid="{00000000-0010-0000-1800-000002000000}" name="Demanda Ponta [a]" totalsRowFunction="sum" dataDxfId="392" totalsRowDxfId="391" dataCellStyle="Vírgula"/>
    <tableColumn id="3" xr3:uid="{00000000-0010-0000-1800-000003000000}" name="Demanda Fora Ponta [b]" totalsRowFunction="sum" dataDxfId="390" totalsRowDxfId="389" dataCellStyle="Vírgula"/>
    <tableColumn id="4" xr3:uid="{00000000-0010-0000-1800-000004000000}" name="Demanda total (kW/mês)" totalsRowFunction="average" dataDxfId="388" totalsRowDxfId="387">
      <calculatedColumnFormula>UCs!AV26+UCs!AW26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9000000}" name="Consumo_energia_UC1101632" displayName="Consumo_energia_UC1101632" ref="AZ9:BC22" totalsRowCount="1" headerRowDxfId="386" dataDxfId="384" totalsRowDxfId="382" headerRowBorderDxfId="385" tableBorderDxfId="383">
  <autoFilter ref="AZ9:BC21" xr:uid="{00000000-0009-0000-0100-00001F000000}"/>
  <tableColumns count="4">
    <tableColumn id="1" xr3:uid="{00000000-0010-0000-1900-000001000000}" name="Periodo" totalsRowLabel="Média" dataDxfId="381" totalsRowDxfId="380"/>
    <tableColumn id="2" xr3:uid="{00000000-0010-0000-1900-000002000000}" name="Consumo Ponta [a]" totalsRowFunction="average" dataDxfId="379" totalsRowDxfId="378" dataCellStyle="Vírgula"/>
    <tableColumn id="3" xr3:uid="{00000000-0010-0000-1900-000003000000}" name="Consumo Fora Ponta [b]" totalsRowFunction="average" dataDxfId="377" totalsRowDxfId="376" dataCellStyle="Vírgula"/>
    <tableColumn id="4" xr3:uid="{00000000-0010-0000-1900-000004000000}" name="Consumo total (kWh/mês)" totalsRowFunction="sum" dataDxfId="375" totalsRowDxfId="374">
      <calculatedColumnFormula>UCs!BA10+UCs!BB10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A000000}" name="Tabela26239301733" displayName="Tabela26239301733" ref="AZ25:BC38" totalsRowCount="1" headerRowDxfId="373" dataDxfId="372" totalsRowDxfId="371">
  <autoFilter ref="AZ25:BC37" xr:uid="{00000000-0009-0000-0100-000020000000}"/>
  <tableColumns count="4">
    <tableColumn id="1" xr3:uid="{00000000-0010-0000-1A00-000001000000}" name="Periodo" totalsRowLabel="Média" dataDxfId="370" totalsRowDxfId="369"/>
    <tableColumn id="2" xr3:uid="{00000000-0010-0000-1A00-000002000000}" name="Demanda Ponta [a]" totalsRowFunction="sum" dataDxfId="368" totalsRowDxfId="367" dataCellStyle="Vírgula"/>
    <tableColumn id="3" xr3:uid="{00000000-0010-0000-1A00-000003000000}" name="Demanda Fora Ponta [b]" totalsRowFunction="sum" dataDxfId="366" totalsRowDxfId="365" dataCellStyle="Vírgula"/>
    <tableColumn id="4" xr3:uid="{00000000-0010-0000-1A00-000004000000}" name="Demanda total (kW/mês)" totalsRowFunction="average" dataDxfId="364" totalsRowDxfId="363">
      <calculatedColumnFormula>UCs!BA26+UCs!BB26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B000000}" name="Consumo_energia_UC1101634" displayName="Consumo_energia_UC1101634" ref="BE9:BH22" totalsRowCount="1" headerRowDxfId="362" dataDxfId="360" totalsRowDxfId="358" headerRowBorderDxfId="361" tableBorderDxfId="359">
  <autoFilter ref="BE9:BH21" xr:uid="{00000000-0009-0000-0100-000021000000}"/>
  <tableColumns count="4">
    <tableColumn id="1" xr3:uid="{00000000-0010-0000-1B00-000001000000}" name="Periodo" totalsRowLabel="Média" dataDxfId="357" totalsRowDxfId="356"/>
    <tableColumn id="2" xr3:uid="{00000000-0010-0000-1B00-000002000000}" name="Consumo Ponta [a]" totalsRowFunction="average" dataDxfId="355" totalsRowDxfId="354" dataCellStyle="Vírgula"/>
    <tableColumn id="3" xr3:uid="{00000000-0010-0000-1B00-000003000000}" name="Consumo Fora Ponta [b]" totalsRowFunction="average" dataDxfId="353" totalsRowDxfId="352" dataCellStyle="Vírgula"/>
    <tableColumn id="4" xr3:uid="{00000000-0010-0000-1B00-000004000000}" name="Consumo total (kWh/mês)" totalsRowFunction="sum" dataDxfId="351" totalsRowDxfId="350">
      <calculatedColumnFormula>UCs!BF10+UCs!BG10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C000000}" name="Tabela26239301735" displayName="Tabela26239301735" ref="BE25:BH38" totalsRowCount="1" headerRowDxfId="349" dataDxfId="348" totalsRowDxfId="347">
  <autoFilter ref="BE25:BH37" xr:uid="{00000000-0009-0000-0100-000022000000}"/>
  <tableColumns count="4">
    <tableColumn id="1" xr3:uid="{00000000-0010-0000-1C00-000001000000}" name="Periodo" totalsRowLabel="Média" dataDxfId="346" totalsRowDxfId="345"/>
    <tableColumn id="2" xr3:uid="{00000000-0010-0000-1C00-000002000000}" name="Demanda Ponta [a]" totalsRowFunction="sum" dataDxfId="344" totalsRowDxfId="343" dataCellStyle="Vírgula"/>
    <tableColumn id="3" xr3:uid="{00000000-0010-0000-1C00-000003000000}" name="Demanda Fora Ponta [b]" totalsRowFunction="sum" dataDxfId="342" totalsRowDxfId="341" dataCellStyle="Vírgula"/>
    <tableColumn id="4" xr3:uid="{00000000-0010-0000-1C00-000004000000}" name="Demanda total (kW/mês)" totalsRowFunction="average" dataDxfId="340" totalsRowDxfId="339">
      <calculatedColumnFormula>UCs!BF26+UCs!BG26</calculatedColumnFormula>
    </tableColumn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D000000}" name="Consumo_energia_UC1101636" displayName="Consumo_energia_UC1101636" ref="BJ9:BM22" totalsRowCount="1" headerRowDxfId="338" dataDxfId="336" totalsRowDxfId="334" headerRowBorderDxfId="337" tableBorderDxfId="335">
  <autoFilter ref="BJ9:BM21" xr:uid="{00000000-0009-0000-0100-000023000000}"/>
  <tableColumns count="4">
    <tableColumn id="1" xr3:uid="{00000000-0010-0000-1D00-000001000000}" name="Periodo" totalsRowLabel="Média" dataDxfId="333" totalsRowDxfId="332"/>
    <tableColumn id="2" xr3:uid="{00000000-0010-0000-1D00-000002000000}" name="Consumo Ponta [a]" totalsRowFunction="average" dataDxfId="331" totalsRowDxfId="330" dataCellStyle="Vírgula"/>
    <tableColumn id="3" xr3:uid="{00000000-0010-0000-1D00-000003000000}" name="Consumo Fora Ponta [b]" totalsRowFunction="average" dataDxfId="329" totalsRowDxfId="328" dataCellStyle="Vírgula"/>
    <tableColumn id="4" xr3:uid="{00000000-0010-0000-1D00-000004000000}" name="Consumo total (kWh/mês)" totalsRowFunction="sum" dataDxfId="327" totalsRowDxfId="326">
      <calculatedColumnFormula>UCs!BK10+UCs!BL10</calculatedColumnFormula>
    </tableColumn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E000000}" name="Tabela26239301737" displayName="Tabela26239301737" ref="BJ25:BM38" totalsRowCount="1" headerRowDxfId="325" dataDxfId="324" totalsRowDxfId="323">
  <autoFilter ref="BJ25:BM37" xr:uid="{00000000-0009-0000-0100-000024000000}"/>
  <tableColumns count="4">
    <tableColumn id="1" xr3:uid="{00000000-0010-0000-1E00-000001000000}" name="Periodo" totalsRowLabel="Média" dataDxfId="322" totalsRowDxfId="321"/>
    <tableColumn id="2" xr3:uid="{00000000-0010-0000-1E00-000002000000}" name="Demanda Ponta [a]" totalsRowFunction="sum" dataDxfId="320" totalsRowDxfId="319" dataCellStyle="Vírgula"/>
    <tableColumn id="3" xr3:uid="{00000000-0010-0000-1E00-000003000000}" name="Demanda Fora Ponta [b]" totalsRowFunction="sum" dataDxfId="318" totalsRowDxfId="317" dataCellStyle="Vírgula"/>
    <tableColumn id="4" xr3:uid="{00000000-0010-0000-1E00-000004000000}" name="Demanda total (kW/mês)" totalsRowFunction="average" dataDxfId="316" totalsRowDxfId="315">
      <calculatedColumnFormula>UCs!BK26+UCs!BL26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F000000}" name="Consumo_energia_UC1101638" displayName="Consumo_energia_UC1101638" ref="BO9:BR22" totalsRowCount="1" headerRowDxfId="314" dataDxfId="312" totalsRowDxfId="310" headerRowBorderDxfId="313" tableBorderDxfId="311">
  <autoFilter ref="BO9:BR21" xr:uid="{00000000-0009-0000-0100-000025000000}"/>
  <tableColumns count="4">
    <tableColumn id="1" xr3:uid="{00000000-0010-0000-1F00-000001000000}" name="Periodo" totalsRowLabel="Média" dataDxfId="309" totalsRowDxfId="308"/>
    <tableColumn id="2" xr3:uid="{00000000-0010-0000-1F00-000002000000}" name="Consumo Ponta [a]" totalsRowFunction="average" dataDxfId="307" totalsRowDxfId="306" dataCellStyle="Vírgula"/>
    <tableColumn id="3" xr3:uid="{00000000-0010-0000-1F00-000003000000}" name="Consumo Fora Ponta [b]" totalsRowFunction="average" dataDxfId="305" totalsRowDxfId="304" dataCellStyle="Vírgula"/>
    <tableColumn id="4" xr3:uid="{00000000-0010-0000-1F00-000004000000}" name="Consumo total (kWh/mês)" totalsRowFunction="sum" dataDxfId="303" totalsRowDxfId="302">
      <calculatedColumnFormula>UCs!BP10+UCs!BQ10</calculatedColumnFormula>
    </tableColumn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0000000}" name="Tabela26239301739" displayName="Tabela26239301739" ref="BO25:BR38" totalsRowCount="1" headerRowDxfId="301" dataDxfId="300" totalsRowDxfId="299">
  <autoFilter ref="BO25:BR37" xr:uid="{00000000-0009-0000-0100-000026000000}"/>
  <tableColumns count="4">
    <tableColumn id="1" xr3:uid="{00000000-0010-0000-2000-000001000000}" name="Periodo" totalsRowLabel="Média" dataDxfId="298" totalsRowDxfId="297"/>
    <tableColumn id="2" xr3:uid="{00000000-0010-0000-2000-000002000000}" name="Demanda Ponta [a]" totalsRowFunction="sum" dataDxfId="296" totalsRowDxfId="295" dataCellStyle="Vírgula"/>
    <tableColumn id="3" xr3:uid="{00000000-0010-0000-2000-000003000000}" name="Demanda Fora Ponta [b]" totalsRowFunction="sum" dataDxfId="294" totalsRowDxfId="293" dataCellStyle="Vírgula"/>
    <tableColumn id="4" xr3:uid="{00000000-0010-0000-2000-000004000000}" name="Demanda total (kW/mês)" totalsRowFunction="average" dataDxfId="292" totalsRowDxfId="291">
      <calculatedColumnFormula>UCs!BP26+UCs!BQ26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1000000}" name="Consumo_energia_UC1101640" displayName="Consumo_energia_UC1101640" ref="BT9:BW22" totalsRowCount="1" headerRowDxfId="290" dataDxfId="288" totalsRowDxfId="286" headerRowBorderDxfId="289" tableBorderDxfId="287">
  <autoFilter ref="BT9:BW21" xr:uid="{00000000-0009-0000-0100-000027000000}"/>
  <tableColumns count="4">
    <tableColumn id="1" xr3:uid="{00000000-0010-0000-2100-000001000000}" name="Periodo" totalsRowLabel="Média" dataDxfId="285" totalsRowDxfId="284"/>
    <tableColumn id="2" xr3:uid="{00000000-0010-0000-2100-000002000000}" name="Consumo Ponta [a]" totalsRowFunction="average" dataDxfId="283" totalsRowDxfId="282" dataCellStyle="Vírgula"/>
    <tableColumn id="3" xr3:uid="{00000000-0010-0000-2100-000003000000}" name="Consumo Fora Ponta [b]" totalsRowFunction="average" dataDxfId="281" totalsRowDxfId="280" dataCellStyle="Vírgula"/>
    <tableColumn id="4" xr3:uid="{00000000-0010-0000-2100-000004000000}" name="Consumo total (kWh/mês)" totalsRowFunction="sum" dataDxfId="279" totalsRowDxfId="278">
      <calculatedColumnFormula>UCs!BU10+UCs!BV10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2000000}" name="Tabela26239301741" displayName="Tabela26239301741" ref="BT25:BW38" totalsRowCount="1" headerRowDxfId="277" dataDxfId="276" totalsRowDxfId="275">
  <autoFilter ref="BT25:BW37" xr:uid="{00000000-0009-0000-0100-000028000000}"/>
  <tableColumns count="4">
    <tableColumn id="1" xr3:uid="{00000000-0010-0000-2200-000001000000}" name="Periodo" totalsRowLabel="Média" dataDxfId="274" totalsRowDxfId="273"/>
    <tableColumn id="2" xr3:uid="{00000000-0010-0000-2200-000002000000}" name="Demanda Ponta [a]" totalsRowFunction="sum" dataDxfId="272" totalsRowDxfId="271" dataCellStyle="Vírgula"/>
    <tableColumn id="3" xr3:uid="{00000000-0010-0000-2200-000003000000}" name="Demanda Fora Ponta [b]" totalsRowFunction="sum" dataDxfId="270" totalsRowDxfId="269" dataCellStyle="Vírgula"/>
    <tableColumn id="4" xr3:uid="{00000000-0010-0000-2200-000004000000}" name="Demanda total (kW/mês)" totalsRowFunction="average" dataDxfId="268" totalsRowDxfId="267">
      <calculatedColumnFormula>UCs!BU26+UCs!BV26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3000000}" name="Consumo_energia_UC1101642" displayName="Consumo_energia_UC1101642" ref="BY9:CB22" totalsRowCount="1" headerRowDxfId="266" dataDxfId="264" totalsRowDxfId="262" headerRowBorderDxfId="265" tableBorderDxfId="263">
  <autoFilter ref="BY9:CB21" xr:uid="{00000000-0009-0000-0100-000029000000}"/>
  <tableColumns count="4">
    <tableColumn id="1" xr3:uid="{00000000-0010-0000-2300-000001000000}" name="Periodo" totalsRowLabel="Média" dataDxfId="261" totalsRowDxfId="260"/>
    <tableColumn id="2" xr3:uid="{00000000-0010-0000-2300-000002000000}" name="Consumo Ponta [a]" totalsRowFunction="average" dataDxfId="259" totalsRowDxfId="258" dataCellStyle="Vírgula"/>
    <tableColumn id="3" xr3:uid="{00000000-0010-0000-2300-000003000000}" name="Consumo Fora Ponta [b]" totalsRowFunction="average" dataDxfId="257" totalsRowDxfId="256" dataCellStyle="Vírgula"/>
    <tableColumn id="4" xr3:uid="{00000000-0010-0000-2300-000004000000}" name="Consumo total (kWh/mês)" totalsRowFunction="sum" dataDxfId="255" totalsRowDxfId="254">
      <calculatedColumnFormula>UCs!BZ10+UCs!CA10</calculatedColumnFormula>
    </tableColumn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4000000}" name="Tabela26239301743" displayName="Tabela26239301743" ref="BY25:CB38" totalsRowCount="1" headerRowDxfId="253" dataDxfId="252" totalsRowDxfId="251">
  <autoFilter ref="BY25:CB37" xr:uid="{00000000-0009-0000-0100-00002A000000}"/>
  <tableColumns count="4">
    <tableColumn id="1" xr3:uid="{00000000-0010-0000-2400-000001000000}" name="Periodo" totalsRowLabel="Média" dataDxfId="250" totalsRowDxfId="249"/>
    <tableColumn id="2" xr3:uid="{00000000-0010-0000-2400-000002000000}" name="Demanda Ponta [a]" totalsRowFunction="sum" dataDxfId="248" totalsRowDxfId="247" dataCellStyle="Vírgula"/>
    <tableColumn id="3" xr3:uid="{00000000-0010-0000-2400-000003000000}" name="Demanda Fora Ponta [b]" totalsRowFunction="sum" dataDxfId="246" totalsRowDxfId="245" dataCellStyle="Vírgula"/>
    <tableColumn id="4" xr3:uid="{00000000-0010-0000-2400-000004000000}" name="Demanda total (kW/mês)" totalsRowFunction="average" dataDxfId="244" totalsRowDxfId="243">
      <calculatedColumnFormula>UCs!BZ26+UCs!CA26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5000000}" name="Consumo_energia_UC1101644" displayName="Consumo_energia_UC1101644" ref="CD9:CG22" totalsRowCount="1" headerRowDxfId="242" dataDxfId="240" totalsRowDxfId="238" headerRowBorderDxfId="241" tableBorderDxfId="239">
  <autoFilter ref="CD9:CG21" xr:uid="{00000000-0009-0000-0100-00002B000000}"/>
  <tableColumns count="4">
    <tableColumn id="1" xr3:uid="{00000000-0010-0000-2500-000001000000}" name="Periodo" totalsRowLabel="Média" dataDxfId="237" totalsRowDxfId="236"/>
    <tableColumn id="2" xr3:uid="{00000000-0010-0000-2500-000002000000}" name="Consumo Ponta [a]" totalsRowFunction="average" dataDxfId="235" totalsRowDxfId="234" dataCellStyle="Vírgula"/>
    <tableColumn id="3" xr3:uid="{00000000-0010-0000-2500-000003000000}" name="Consumo Fora Ponta [b]" totalsRowFunction="average" dataDxfId="233" totalsRowDxfId="232" dataCellStyle="Vírgula"/>
    <tableColumn id="4" xr3:uid="{00000000-0010-0000-2500-000004000000}" name="Consumo total (kWh/mês)" totalsRowFunction="sum" dataDxfId="231" totalsRowDxfId="230">
      <calculatedColumnFormula>UCs!CE10+UCs!CF10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6000000}" name="Tabela26239301745" displayName="Tabela26239301745" ref="CD25:CG38" totalsRowCount="1" headerRowDxfId="229" dataDxfId="228" totalsRowDxfId="227">
  <autoFilter ref="CD25:CG37" xr:uid="{00000000-0009-0000-0100-00002C000000}"/>
  <tableColumns count="4">
    <tableColumn id="1" xr3:uid="{00000000-0010-0000-2600-000001000000}" name="Periodo" totalsRowLabel="Média" dataDxfId="226" totalsRowDxfId="225"/>
    <tableColumn id="2" xr3:uid="{00000000-0010-0000-2600-000002000000}" name="Demanda Ponta [a]" totalsRowFunction="sum" dataDxfId="224" totalsRowDxfId="223" dataCellStyle="Vírgula"/>
    <tableColumn id="3" xr3:uid="{00000000-0010-0000-2600-000003000000}" name="Demanda Fora Ponta [b]" totalsRowFunction="sum" dataDxfId="222" totalsRowDxfId="221" dataCellStyle="Vírgula"/>
    <tableColumn id="4" xr3:uid="{00000000-0010-0000-2600-000004000000}" name="Demanda total (kW/mês)" totalsRowFunction="average" dataDxfId="220" totalsRowDxfId="219">
      <calculatedColumnFormula>UCs!CE26+UCs!CF26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7000000}" name="Consumo_energia_UC1101646" displayName="Consumo_energia_UC1101646" ref="CI9:CL22" totalsRowCount="1" headerRowDxfId="218" dataDxfId="216" totalsRowDxfId="214" headerRowBorderDxfId="217" tableBorderDxfId="215">
  <autoFilter ref="CI9:CL21" xr:uid="{00000000-0009-0000-0100-00002D000000}"/>
  <tableColumns count="4">
    <tableColumn id="1" xr3:uid="{00000000-0010-0000-2700-000001000000}" name="Periodo" totalsRowLabel="Média" dataDxfId="213" totalsRowDxfId="212"/>
    <tableColumn id="2" xr3:uid="{00000000-0010-0000-2700-000002000000}" name="Consumo Ponta [a]" totalsRowFunction="average" dataDxfId="211" totalsRowDxfId="210" dataCellStyle="Vírgula"/>
    <tableColumn id="3" xr3:uid="{00000000-0010-0000-2700-000003000000}" name="Consumo Fora Ponta [b]" totalsRowFunction="average" dataDxfId="209" totalsRowDxfId="208" dataCellStyle="Vírgula"/>
    <tableColumn id="4" xr3:uid="{00000000-0010-0000-2700-000004000000}" name="Consumo total (kWh/mês)" totalsRowFunction="sum" dataDxfId="207" totalsRowDxfId="206">
      <calculatedColumnFormula>UCs!CJ10+UCs!CK10</calculatedColumnFormula>
    </tableColumn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8000000}" name="Tabela26239301747" displayName="Tabela26239301747" ref="CI25:CL38" totalsRowCount="1" headerRowDxfId="205" dataDxfId="204" totalsRowDxfId="203">
  <autoFilter ref="CI25:CL37" xr:uid="{00000000-0009-0000-0100-00002E000000}"/>
  <tableColumns count="4">
    <tableColumn id="1" xr3:uid="{00000000-0010-0000-2800-000001000000}" name="Periodo" totalsRowLabel="Média" dataDxfId="202" totalsRowDxfId="201"/>
    <tableColumn id="2" xr3:uid="{00000000-0010-0000-2800-000002000000}" name="Demanda Ponta [a]" totalsRowFunction="sum" dataDxfId="200" totalsRowDxfId="199" dataCellStyle="Vírgula"/>
    <tableColumn id="3" xr3:uid="{00000000-0010-0000-2800-000003000000}" name="Demanda Fora Ponta [b]" totalsRowFunction="sum" dataDxfId="198" totalsRowDxfId="197" dataCellStyle="Vírgula"/>
    <tableColumn id="4" xr3:uid="{00000000-0010-0000-2800-000004000000}" name="Demanda total (kW/mês)" totalsRowFunction="average" dataDxfId="196" totalsRowDxfId="195">
      <calculatedColumnFormula>UCs!CJ26+UCs!CK26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9000000}" name="Consumo_energia_UC1101648" displayName="Consumo_energia_UC1101648" ref="CN9:CQ22" totalsRowCount="1" headerRowDxfId="194" dataDxfId="192" totalsRowDxfId="190" headerRowBorderDxfId="193" tableBorderDxfId="191">
  <autoFilter ref="CN9:CQ21" xr:uid="{00000000-0009-0000-0100-00002F000000}"/>
  <tableColumns count="4">
    <tableColumn id="1" xr3:uid="{00000000-0010-0000-2900-000001000000}" name="Periodo" totalsRowLabel="Média" dataDxfId="189" totalsRowDxfId="188"/>
    <tableColumn id="2" xr3:uid="{00000000-0010-0000-2900-000002000000}" name="Consumo Ponta [a]" totalsRowFunction="average" dataDxfId="187" totalsRowDxfId="186" dataCellStyle="Vírgula"/>
    <tableColumn id="3" xr3:uid="{00000000-0010-0000-2900-000003000000}" name="Consumo Fora Ponta [b]" totalsRowFunction="average" dataDxfId="185" totalsRowDxfId="184" dataCellStyle="Vírgula"/>
    <tableColumn id="4" xr3:uid="{00000000-0010-0000-2900-000004000000}" name="Consumo total (kWh/mês)" totalsRowFunction="sum" dataDxfId="183" totalsRowDxfId="182">
      <calculatedColumnFormula>UCs!CO10+UCs!CP10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A000000}" name="Tabela26239301749" displayName="Tabela26239301749" ref="CN25:CQ38" totalsRowCount="1" headerRowDxfId="181" dataDxfId="180" totalsRowDxfId="179">
  <autoFilter ref="CN25:CQ37" xr:uid="{00000000-0009-0000-0100-000030000000}"/>
  <tableColumns count="4">
    <tableColumn id="1" xr3:uid="{00000000-0010-0000-2A00-000001000000}" name="Periodo" totalsRowLabel="Média" dataDxfId="178" totalsRowDxfId="177"/>
    <tableColumn id="2" xr3:uid="{00000000-0010-0000-2A00-000002000000}" name="Demanda Ponta [a]" totalsRowFunction="sum" dataDxfId="176" totalsRowDxfId="175" dataCellStyle="Vírgula"/>
    <tableColumn id="3" xr3:uid="{00000000-0010-0000-2A00-000003000000}" name="Demanda Fora Ponta [b]" totalsRowFunction="sum" dataDxfId="174" totalsRowDxfId="173" dataCellStyle="Vírgula"/>
    <tableColumn id="4" xr3:uid="{00000000-0010-0000-2A00-000004000000}" name="Demanda total (kW/mês)" totalsRowFunction="average" dataDxfId="172" totalsRowDxfId="171">
      <calculatedColumnFormula>UCs!CO26+UCs!CP26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B000000}" name="Consumo_energia_UC1101650" displayName="Consumo_energia_UC1101650" ref="CS9:CV22" totalsRowCount="1" headerRowDxfId="170" dataDxfId="168" totalsRowDxfId="166" headerRowBorderDxfId="169" tableBorderDxfId="167">
  <autoFilter ref="CS9:CV21" xr:uid="{00000000-0009-0000-0100-000031000000}"/>
  <tableColumns count="4">
    <tableColumn id="1" xr3:uid="{00000000-0010-0000-2B00-000001000000}" name="Periodo" totalsRowLabel="Média" dataDxfId="165" totalsRowDxfId="164"/>
    <tableColumn id="2" xr3:uid="{00000000-0010-0000-2B00-000002000000}" name="Consumo Ponta [a]" totalsRowFunction="average" dataDxfId="163" totalsRowDxfId="162" dataCellStyle="Vírgula"/>
    <tableColumn id="3" xr3:uid="{00000000-0010-0000-2B00-000003000000}" name="Consumo Fora Ponta [b]" totalsRowFunction="average" dataDxfId="161" totalsRowDxfId="160" dataCellStyle="Vírgula"/>
    <tableColumn id="4" xr3:uid="{00000000-0010-0000-2B00-000004000000}" name="Consumo total (kWh/mês)" totalsRowFunction="sum" dataDxfId="159" totalsRowDxfId="158">
      <calculatedColumnFormula>UCs!CT10+UCs!CU10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C000000}" name="Tabela26239301751" displayName="Tabela26239301751" ref="CS25:CV38" totalsRowCount="1" headerRowDxfId="157" dataDxfId="156" totalsRowDxfId="155">
  <autoFilter ref="CS25:CV37" xr:uid="{00000000-0009-0000-0100-000032000000}"/>
  <tableColumns count="4">
    <tableColumn id="1" xr3:uid="{00000000-0010-0000-2C00-000001000000}" name="Periodo" totalsRowLabel="Média" dataDxfId="154" totalsRowDxfId="153"/>
    <tableColumn id="2" xr3:uid="{00000000-0010-0000-2C00-000002000000}" name="Demanda Ponta [a]" totalsRowFunction="sum" dataDxfId="152" totalsRowDxfId="151" dataCellStyle="Vírgula"/>
    <tableColumn id="3" xr3:uid="{00000000-0010-0000-2C00-000003000000}" name="Demanda Fora Ponta [b]" totalsRowFunction="sum" dataDxfId="150" totalsRowDxfId="149" dataCellStyle="Vírgula"/>
    <tableColumn id="4" xr3:uid="{00000000-0010-0000-2C00-000004000000}" name="Demanda total (kW/mês)" totalsRowFunction="average" dataDxfId="148" totalsRowDxfId="147">
      <calculatedColumnFormula>UCs!CT26+UCs!CU26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D000000}" name="Solar" displayName="Solar" ref="P3:S24" totalsRowCount="1" headerRowDxfId="146" tableBorderDxfId="145">
  <autoFilter ref="P3:S23" xr:uid="{00000000-0009-0000-0100-000001000000}"/>
  <tableColumns count="4">
    <tableColumn id="1" xr3:uid="{00000000-0010-0000-2D00-000001000000}" name="UC" totalsRowLabel="Total" dataDxfId="144" totalsRowDxfId="143"/>
    <tableColumn id="2" xr3:uid="{00000000-0010-0000-2D00-000002000000}" name="QTD" totalsRowFunction="sum" dataDxfId="142" totalsRowDxfId="141"/>
    <tableColumn id="3" xr3:uid="{00000000-0010-0000-2D00-000003000000}" name="Energia" totalsRowFunction="sum" dataDxfId="140" totalsRowDxfId="139">
      <calculatedColumnFormula>IFERROR(($G$24/Solar[[#Totals],[QTD]])*Solar[[#This Row],[QTD]],"")</calculatedColumnFormula>
    </tableColumn>
    <tableColumn id="4" xr3:uid="{00000000-0010-0000-2D00-000004000000}" name="Demanda" totalsRowFunction="sum" dataDxfId="138" totalsRowDxfId="137">
      <calculatedColumnFormula>IFERROR(($G$22/Solar[[#Totals],[QTD]])*Solar[[#This Row],[QTD]],"")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ficiencia.energetica@cope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6.xml"/><Relationship Id="rId18" Type="http://schemas.openxmlformats.org/officeDocument/2006/relationships/table" Target="../tables/table21.xml"/><Relationship Id="rId26" Type="http://schemas.openxmlformats.org/officeDocument/2006/relationships/table" Target="../tables/table29.xml"/><Relationship Id="rId39" Type="http://schemas.openxmlformats.org/officeDocument/2006/relationships/table" Target="../tables/table42.xml"/><Relationship Id="rId21" Type="http://schemas.openxmlformats.org/officeDocument/2006/relationships/table" Target="../tables/table24.xml"/><Relationship Id="rId34" Type="http://schemas.openxmlformats.org/officeDocument/2006/relationships/table" Target="../tables/table37.xml"/><Relationship Id="rId42" Type="http://schemas.openxmlformats.org/officeDocument/2006/relationships/table" Target="../tables/table45.xml"/><Relationship Id="rId7" Type="http://schemas.openxmlformats.org/officeDocument/2006/relationships/table" Target="../tables/table10.xml"/><Relationship Id="rId2" Type="http://schemas.openxmlformats.org/officeDocument/2006/relationships/drawing" Target="../drawings/drawing3.xml"/><Relationship Id="rId16" Type="http://schemas.openxmlformats.org/officeDocument/2006/relationships/table" Target="../tables/table19.xml"/><Relationship Id="rId20" Type="http://schemas.openxmlformats.org/officeDocument/2006/relationships/table" Target="../tables/table23.xml"/><Relationship Id="rId29" Type="http://schemas.openxmlformats.org/officeDocument/2006/relationships/table" Target="../tables/table32.xml"/><Relationship Id="rId41" Type="http://schemas.openxmlformats.org/officeDocument/2006/relationships/table" Target="../tables/table4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24" Type="http://schemas.openxmlformats.org/officeDocument/2006/relationships/table" Target="../tables/table27.xml"/><Relationship Id="rId32" Type="http://schemas.openxmlformats.org/officeDocument/2006/relationships/table" Target="../tables/table35.xml"/><Relationship Id="rId37" Type="http://schemas.openxmlformats.org/officeDocument/2006/relationships/table" Target="../tables/table40.xml"/><Relationship Id="rId40" Type="http://schemas.openxmlformats.org/officeDocument/2006/relationships/table" Target="../tables/table43.xml"/><Relationship Id="rId5" Type="http://schemas.openxmlformats.org/officeDocument/2006/relationships/table" Target="../tables/table8.xml"/><Relationship Id="rId15" Type="http://schemas.openxmlformats.org/officeDocument/2006/relationships/table" Target="../tables/table18.xml"/><Relationship Id="rId23" Type="http://schemas.openxmlformats.org/officeDocument/2006/relationships/table" Target="../tables/table26.xml"/><Relationship Id="rId28" Type="http://schemas.openxmlformats.org/officeDocument/2006/relationships/table" Target="../tables/table31.xml"/><Relationship Id="rId36" Type="http://schemas.openxmlformats.org/officeDocument/2006/relationships/table" Target="../tables/table39.xml"/><Relationship Id="rId10" Type="http://schemas.openxmlformats.org/officeDocument/2006/relationships/table" Target="../tables/table13.xml"/><Relationship Id="rId19" Type="http://schemas.openxmlformats.org/officeDocument/2006/relationships/table" Target="../tables/table22.xml"/><Relationship Id="rId31" Type="http://schemas.openxmlformats.org/officeDocument/2006/relationships/table" Target="../tables/table34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Relationship Id="rId14" Type="http://schemas.openxmlformats.org/officeDocument/2006/relationships/table" Target="../tables/table17.xml"/><Relationship Id="rId22" Type="http://schemas.openxmlformats.org/officeDocument/2006/relationships/table" Target="../tables/table25.xml"/><Relationship Id="rId27" Type="http://schemas.openxmlformats.org/officeDocument/2006/relationships/table" Target="../tables/table30.xml"/><Relationship Id="rId30" Type="http://schemas.openxmlformats.org/officeDocument/2006/relationships/table" Target="../tables/table33.xml"/><Relationship Id="rId35" Type="http://schemas.openxmlformats.org/officeDocument/2006/relationships/table" Target="../tables/table38.xml"/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12" Type="http://schemas.openxmlformats.org/officeDocument/2006/relationships/table" Target="../tables/table15.xml"/><Relationship Id="rId17" Type="http://schemas.openxmlformats.org/officeDocument/2006/relationships/table" Target="../tables/table20.xml"/><Relationship Id="rId25" Type="http://schemas.openxmlformats.org/officeDocument/2006/relationships/table" Target="../tables/table28.xml"/><Relationship Id="rId33" Type="http://schemas.openxmlformats.org/officeDocument/2006/relationships/table" Target="../tables/table36.xml"/><Relationship Id="rId38" Type="http://schemas.openxmlformats.org/officeDocument/2006/relationships/table" Target="../tables/table4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46.xml"/><Relationship Id="rId5" Type="http://schemas.openxmlformats.org/officeDocument/2006/relationships/image" Target="../media/image10.emf"/><Relationship Id="rId4" Type="http://schemas.openxmlformats.org/officeDocument/2006/relationships/control" Target="../activeX/activeX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5"/>
  </sheetPr>
  <dimension ref="B2:BC401"/>
  <sheetViews>
    <sheetView topLeftCell="I1" zoomScale="145" zoomScaleNormal="145" workbookViewId="0">
      <selection activeCell="L4" sqref="L4"/>
    </sheetView>
  </sheetViews>
  <sheetFormatPr defaultColWidth="9.140625" defaultRowHeight="15" x14ac:dyDescent="0.25"/>
  <cols>
    <col min="1" max="1" width="3.7109375" style="497" customWidth="1"/>
    <col min="2" max="2" width="8.5703125" style="497" hidden="1" customWidth="1"/>
    <col min="3" max="3" width="4" style="497" hidden="1" customWidth="1"/>
    <col min="4" max="4" width="3.7109375" style="497" hidden="1" customWidth="1"/>
    <col min="5" max="5" width="30.5703125" style="497" hidden="1" customWidth="1"/>
    <col min="6" max="6" width="4.7109375" style="497" hidden="1" customWidth="1"/>
    <col min="7" max="8" width="3.7109375" style="497" customWidth="1"/>
    <col min="9" max="9" width="25.140625" style="497" bestFit="1" customWidth="1"/>
    <col min="10" max="10" width="3.7109375" style="497" customWidth="1"/>
    <col min="11" max="11" width="26.7109375" style="497" bestFit="1" customWidth="1"/>
    <col min="12" max="12" width="6.140625" style="497" bestFit="1" customWidth="1"/>
    <col min="13" max="13" width="3.7109375" style="497" customWidth="1"/>
    <col min="14" max="14" width="26.7109375" style="497" bestFit="1" customWidth="1"/>
    <col min="15" max="15" width="4.7109375" style="497" bestFit="1" customWidth="1"/>
    <col min="16" max="16" width="3.7109375" style="497" customWidth="1"/>
    <col min="17" max="17" width="24.7109375" style="497" bestFit="1" customWidth="1"/>
    <col min="18" max="18" width="6.140625" style="497" bestFit="1" customWidth="1"/>
    <col min="19" max="20" width="3.7109375" style="497" customWidth="1"/>
    <col min="21" max="21" width="30.28515625" style="497" bestFit="1" customWidth="1"/>
    <col min="22" max="23" width="3.7109375" style="497" customWidth="1"/>
    <col min="24" max="24" width="5.7109375" style="497" customWidth="1"/>
    <col min="25" max="26" width="3.7109375" style="497" customWidth="1"/>
    <col min="27" max="27" width="35.5703125" style="497" bestFit="1" customWidth="1"/>
    <col min="28" max="28" width="3.7109375" style="497" customWidth="1"/>
    <col min="29" max="29" width="25.7109375" style="497" bestFit="1" customWidth="1"/>
    <col min="30" max="30" width="8.5703125" style="497" bestFit="1" customWidth="1"/>
    <col min="31" max="32" width="3.7109375" style="497" customWidth="1"/>
    <col min="33" max="33" width="19.140625" style="497" bestFit="1" customWidth="1"/>
    <col min="34" max="35" width="3.7109375" style="497" customWidth="1"/>
    <col min="36" max="36" width="19.7109375" style="497" customWidth="1"/>
    <col min="37" max="37" width="21.85546875" style="497" customWidth="1"/>
    <col min="38" max="38" width="3.7109375" style="497" customWidth="1"/>
    <col min="39" max="39" width="26.7109375" style="497" bestFit="1" customWidth="1"/>
    <col min="40" max="41" width="3.7109375" style="497" customWidth="1"/>
    <col min="42" max="42" width="12.140625" style="497" bestFit="1" customWidth="1"/>
    <col min="43" max="43" width="3.7109375" style="497" customWidth="1"/>
    <col min="44" max="44" width="26.7109375" style="497" bestFit="1" customWidth="1"/>
    <col min="45" max="45" width="10.7109375" style="497" customWidth="1"/>
    <col min="46" max="46" width="3.7109375" style="497" customWidth="1"/>
    <col min="47" max="47" width="14.5703125" style="497" bestFit="1" customWidth="1"/>
    <col min="48" max="48" width="3.7109375" style="497" customWidth="1"/>
    <col min="49" max="49" width="26.7109375" style="497" bestFit="1" customWidth="1"/>
    <col min="50" max="50" width="10.7109375" style="497" customWidth="1"/>
    <col min="51" max="51" width="3.7109375" style="497" customWidth="1"/>
    <col min="52" max="52" width="14.5703125" style="497" bestFit="1" customWidth="1"/>
    <col min="53" max="53" width="3.7109375" style="497" customWidth="1"/>
    <col min="54" max="54" width="18" style="497" customWidth="1"/>
    <col min="55" max="55" width="16.42578125" style="497" bestFit="1" customWidth="1"/>
    <col min="56" max="16384" width="9.140625" style="497"/>
  </cols>
  <sheetData>
    <row r="2" spans="2:55" s="495" customFormat="1" x14ac:dyDescent="0.25">
      <c r="T2" s="495" t="s">
        <v>0</v>
      </c>
      <c r="AJ2" s="495" t="s">
        <v>1</v>
      </c>
      <c r="AR2" s="495" t="s">
        <v>2</v>
      </c>
      <c r="BB2" s="495" t="s">
        <v>3</v>
      </c>
    </row>
    <row r="3" spans="2:55" s="495" customFormat="1" x14ac:dyDescent="0.25">
      <c r="H3" s="495" t="s">
        <v>4</v>
      </c>
      <c r="K3" s="495" t="s">
        <v>5</v>
      </c>
      <c r="N3" s="495" t="s">
        <v>6</v>
      </c>
      <c r="Q3" s="495" t="s">
        <v>7</v>
      </c>
      <c r="T3" s="495" t="s">
        <v>8</v>
      </c>
      <c r="W3" s="495" t="s">
        <v>9</v>
      </c>
      <c r="Z3" s="495" t="s">
        <v>8</v>
      </c>
      <c r="AC3" s="495" t="s">
        <v>10</v>
      </c>
      <c r="AF3" s="495" t="s">
        <v>11</v>
      </c>
      <c r="AJ3" s="495" t="s">
        <v>12</v>
      </c>
      <c r="AM3" s="495" t="s">
        <v>13</v>
      </c>
      <c r="AP3" s="496" t="s">
        <v>14</v>
      </c>
      <c r="AR3" s="495" t="s">
        <v>15</v>
      </c>
      <c r="AU3" s="496" t="s">
        <v>16</v>
      </c>
      <c r="AV3" s="496"/>
      <c r="AW3" s="495" t="s">
        <v>17</v>
      </c>
      <c r="AZ3" s="496" t="s">
        <v>16</v>
      </c>
      <c r="BB3" s="495" t="s">
        <v>18</v>
      </c>
      <c r="BC3" s="495" t="s">
        <v>19</v>
      </c>
    </row>
    <row r="4" spans="2:55" x14ac:dyDescent="0.25">
      <c r="H4" s="497">
        <v>1</v>
      </c>
      <c r="I4" s="497" t="s">
        <v>20</v>
      </c>
      <c r="K4" s="497" t="s">
        <v>21</v>
      </c>
      <c r="L4" s="498" t="str">
        <f>IF(RCB!G7=0,"não",IF(RCB!G7&gt;0,"sim","erro"))</f>
        <v>não</v>
      </c>
      <c r="N4" s="497" t="s">
        <v>21</v>
      </c>
      <c r="O4" s="498" t="str">
        <f>IF(RCB!G30=0,"não",IF(RCB!G30&gt;0,"sim","erro"))</f>
        <v>não</v>
      </c>
      <c r="Q4" s="497" t="s">
        <v>22</v>
      </c>
      <c r="R4" s="498">
        <v>2.3999999999999998E-3</v>
      </c>
      <c r="T4" s="497">
        <v>1</v>
      </c>
      <c r="U4" s="497" t="s">
        <v>23</v>
      </c>
      <c r="W4" s="497">
        <v>1</v>
      </c>
      <c r="X4" s="499">
        <v>0.75</v>
      </c>
      <c r="Z4" s="497">
        <v>1</v>
      </c>
      <c r="AA4" s="497" t="s">
        <v>24</v>
      </c>
      <c r="AC4" s="497" t="s">
        <v>25</v>
      </c>
      <c r="AD4" s="500">
        <v>0</v>
      </c>
      <c r="AF4" s="497">
        <v>1</v>
      </c>
      <c r="AG4" s="497" t="s">
        <v>26</v>
      </c>
      <c r="AJ4" s="497" t="s">
        <v>27</v>
      </c>
      <c r="AK4" s="499">
        <v>80</v>
      </c>
      <c r="AM4" s="497" t="s">
        <v>21</v>
      </c>
      <c r="AN4" s="501">
        <f>IF(IlumCusto!N27&gt;0,1,0)</f>
        <v>0</v>
      </c>
      <c r="AO4" s="502"/>
      <c r="AP4" s="503" t="e">
        <f t="shared" ref="AP4:AP10" si="0">IF($AN$11=0,0,$AP$11*(AN4/$AN$11))</f>
        <v>#REF!</v>
      </c>
      <c r="AR4" s="497" t="s">
        <v>21</v>
      </c>
      <c r="AS4" s="504">
        <f>RCB!C7</f>
        <v>0</v>
      </c>
      <c r="AT4" s="502"/>
      <c r="AU4" s="505">
        <f>IF(COUNT(IlumCusto!V6:V26)=0,0,AVERAGE(IlumCusto!V6:V26))</f>
        <v>0</v>
      </c>
      <c r="AW4" s="497" t="s">
        <v>21</v>
      </c>
      <c r="AX4" s="504">
        <f>RCB!C30</f>
        <v>0</v>
      </c>
      <c r="AY4" s="502"/>
      <c r="AZ4" s="505">
        <f>IF(COUNT(IlumCusto!V61:V111)=0,0,AVERAGE(IlumCusto!V61:V111))</f>
        <v>0</v>
      </c>
      <c r="BB4" s="497" t="s">
        <v>28</v>
      </c>
      <c r="BC4" s="506">
        <v>0.84</v>
      </c>
    </row>
    <row r="5" spans="2:55" x14ac:dyDescent="0.25">
      <c r="B5" s="497" t="s">
        <v>29</v>
      </c>
      <c r="H5" s="497">
        <v>2</v>
      </c>
      <c r="I5" s="497" t="s">
        <v>30</v>
      </c>
      <c r="K5" s="497" t="s">
        <v>31</v>
      </c>
      <c r="L5" s="498" t="str">
        <f>IF(RCB!G8=0,"não",IF(RCB!G8&gt;0,"sim","erro"))</f>
        <v>não</v>
      </c>
      <c r="N5" s="497" t="s">
        <v>31</v>
      </c>
      <c r="O5" s="498" t="str">
        <f>IF(RCB!G31=0,"não",IF(RCB!G31&gt;0,"sim","erro"))</f>
        <v>não</v>
      </c>
      <c r="Q5" s="497" t="s">
        <v>32</v>
      </c>
      <c r="R5" s="498">
        <v>0.02</v>
      </c>
      <c r="T5" s="497">
        <v>2</v>
      </c>
      <c r="U5" s="497" t="s">
        <v>2</v>
      </c>
      <c r="W5" s="497">
        <v>2</v>
      </c>
      <c r="X5" s="499">
        <v>0.85</v>
      </c>
      <c r="Z5" s="497">
        <v>2</v>
      </c>
      <c r="AA5" s="497" t="s">
        <v>33</v>
      </c>
      <c r="AC5" s="497" t="s">
        <v>34</v>
      </c>
      <c r="AD5" s="500">
        <v>0.8</v>
      </c>
      <c r="AF5" s="497">
        <v>2</v>
      </c>
      <c r="AG5" s="497" t="s">
        <v>35</v>
      </c>
      <c r="AJ5" s="497" t="s">
        <v>36</v>
      </c>
      <c r="AK5" s="502">
        <v>73.349999999999994</v>
      </c>
      <c r="AM5" s="497" t="s">
        <v>31</v>
      </c>
      <c r="AN5" s="501">
        <f>IF(CondAmbCusto!N27&gt;0,1,0)</f>
        <v>0</v>
      </c>
      <c r="AP5" s="503" t="e">
        <f t="shared" si="0"/>
        <v>#REF!</v>
      </c>
      <c r="AR5" s="497" t="s">
        <v>31</v>
      </c>
      <c r="AS5" s="504">
        <f>RCB!C8</f>
        <v>0</v>
      </c>
      <c r="AU5" s="505">
        <f>IF(COUNT(CondAmbCusto!V6:V26)=0,0,AVERAGE(CondAmbCusto!V6:V26))</f>
        <v>0</v>
      </c>
      <c r="AW5" s="497" t="s">
        <v>31</v>
      </c>
      <c r="AX5" s="504">
        <f>RCB!C31</f>
        <v>0</v>
      </c>
      <c r="AZ5" s="505">
        <f>IF(COUNT(CondAmbCusto!V61:V81)=0,0,AVERAGE(CondAmbCusto!V61:V81))</f>
        <v>0</v>
      </c>
      <c r="BB5" s="497" t="s">
        <v>37</v>
      </c>
      <c r="BC5" s="506">
        <v>0.65</v>
      </c>
    </row>
    <row r="6" spans="2:55" x14ac:dyDescent="0.25">
      <c r="B6" s="497" t="s">
        <v>38</v>
      </c>
      <c r="C6" s="507">
        <f>COUNTIF($F$6:$F$401,B6)</f>
        <v>50</v>
      </c>
      <c r="D6" s="508"/>
      <c r="E6" s="497" t="s">
        <v>39</v>
      </c>
      <c r="F6" s="497" t="s">
        <v>40</v>
      </c>
      <c r="H6" s="497">
        <v>3</v>
      </c>
      <c r="I6" s="497" t="s">
        <v>41</v>
      </c>
      <c r="K6" s="497" t="s">
        <v>42</v>
      </c>
      <c r="L6" s="498" t="str">
        <f>IF(RCB!G9=0,"não",IF(RCB!G9&gt;0,"sim","erro"))</f>
        <v>não</v>
      </c>
      <c r="N6" s="497" t="s">
        <v>42</v>
      </c>
      <c r="O6" s="498" t="str">
        <f>IF(RCB!G32=0,"não",IF(RCB!G32&gt;0,"sim","erro"))</f>
        <v>não</v>
      </c>
      <c r="T6" s="497">
        <v>3</v>
      </c>
      <c r="U6" s="497" t="s">
        <v>43</v>
      </c>
      <c r="W6" s="497">
        <v>3</v>
      </c>
      <c r="X6" s="499">
        <v>0.75</v>
      </c>
      <c r="Z6" s="497">
        <v>3</v>
      </c>
      <c r="AA6" s="497" t="s">
        <v>44</v>
      </c>
      <c r="AC6" s="497" t="s">
        <v>45</v>
      </c>
      <c r="AD6" s="500">
        <v>1</v>
      </c>
      <c r="AF6" s="497">
        <v>3</v>
      </c>
      <c r="AG6" s="497" t="s">
        <v>46</v>
      </c>
      <c r="AM6" s="497" t="s">
        <v>47</v>
      </c>
      <c r="AN6" s="501">
        <f>IF(MotorCusto!N27&gt;0,1,0)</f>
        <v>0</v>
      </c>
      <c r="AP6" s="503" t="e">
        <f t="shared" si="0"/>
        <v>#REF!</v>
      </c>
      <c r="AR6" s="497" t="s">
        <v>47</v>
      </c>
      <c r="AS6" s="504">
        <f>RCB!C9</f>
        <v>0</v>
      </c>
      <c r="AU6" s="505">
        <f>IF(COUNT(MotorCusto!V6:V26)=0,0,AVERAGE(MotorCusto!V6:V26))</f>
        <v>0</v>
      </c>
      <c r="AW6" s="497" t="s">
        <v>47</v>
      </c>
      <c r="AX6" s="504">
        <f>RCB!C32</f>
        <v>0</v>
      </c>
      <c r="AZ6" s="505">
        <f>IF(COUNT(MotorCusto!V61:V111)=0,0,AVERAGE(MotorCusto!V61:V111))</f>
        <v>0</v>
      </c>
      <c r="BB6" s="497" t="s">
        <v>48</v>
      </c>
      <c r="BC6" s="506">
        <v>0.68</v>
      </c>
    </row>
    <row r="7" spans="2:55" x14ac:dyDescent="0.25">
      <c r="B7" s="497" t="s">
        <v>49</v>
      </c>
      <c r="C7" s="507">
        <f>COUNTIF($F$6:$F$401,B7)</f>
        <v>35</v>
      </c>
      <c r="D7" s="508"/>
      <c r="E7" s="497" t="s">
        <v>50</v>
      </c>
      <c r="F7" s="497" t="s">
        <v>49</v>
      </c>
      <c r="H7" s="497">
        <v>4</v>
      </c>
      <c r="I7" s="497" t="s">
        <v>51</v>
      </c>
      <c r="K7" s="497" t="s">
        <v>52</v>
      </c>
      <c r="L7" s="498" t="str">
        <f>IF(RCB!G10=0,"não",IF(RCB!G10&gt;0,"sim","erro"))</f>
        <v>não</v>
      </c>
      <c r="N7" s="497" t="s">
        <v>52</v>
      </c>
      <c r="O7" s="498" t="str">
        <f>IF(RCB!G33=0,"não",IF(RCB!G33&gt;0,"sim","erro"))</f>
        <v>não</v>
      </c>
      <c r="Z7" s="497">
        <v>4</v>
      </c>
      <c r="AA7" s="497" t="s">
        <v>53</v>
      </c>
      <c r="AC7" s="497" t="s">
        <v>54</v>
      </c>
      <c r="AD7" s="500">
        <v>1</v>
      </c>
      <c r="AF7" s="497">
        <v>4</v>
      </c>
      <c r="AG7" s="497" t="s">
        <v>55</v>
      </c>
      <c r="AJ7" s="497" t="s">
        <v>56</v>
      </c>
      <c r="AK7" s="502">
        <f>AK4*AK5</f>
        <v>5868</v>
      </c>
      <c r="AM7" s="497" t="s">
        <v>52</v>
      </c>
      <c r="AN7" s="501" t="e">
        <f>IF(#REF!&gt;0,1,0)</f>
        <v>#REF!</v>
      </c>
      <c r="AP7" s="503" t="e">
        <f t="shared" si="0"/>
        <v>#REF!</v>
      </c>
      <c r="AR7" s="497" t="s">
        <v>52</v>
      </c>
      <c r="AS7" s="504">
        <f>RCB!C10</f>
        <v>0</v>
      </c>
      <c r="AU7" s="505">
        <f>IF(COUNT(#REF!)=0,0,AVERAGE(#REF!))</f>
        <v>0</v>
      </c>
      <c r="AW7" s="497" t="s">
        <v>52</v>
      </c>
      <c r="AX7" s="504">
        <f>RCB!C33</f>
        <v>0</v>
      </c>
      <c r="AZ7" s="505">
        <f>IF(COUNT(#REF!)=0,0,AVERAGE(#REF!))</f>
        <v>0</v>
      </c>
      <c r="BB7" s="497" t="s">
        <v>57</v>
      </c>
      <c r="BC7" s="506">
        <v>0.7</v>
      </c>
    </row>
    <row r="8" spans="2:55" x14ac:dyDescent="0.25">
      <c r="B8" s="497" t="s">
        <v>58</v>
      </c>
      <c r="C8" s="507">
        <f>COUNTIF($F$6:$F$401,B8)</f>
        <v>108</v>
      </c>
      <c r="D8" s="508"/>
      <c r="E8" s="497" t="s">
        <v>59</v>
      </c>
      <c r="F8" s="497" t="s">
        <v>49</v>
      </c>
      <c r="H8" s="497">
        <v>5</v>
      </c>
      <c r="I8" s="497" t="s">
        <v>60</v>
      </c>
      <c r="K8" s="497" t="s">
        <v>61</v>
      </c>
      <c r="L8" s="498" t="str">
        <f>IF(RCB!G11=0,"não",IF(RCB!G11&gt;0,"sim","erro"))</f>
        <v>não</v>
      </c>
      <c r="N8" s="497" t="s">
        <v>61</v>
      </c>
      <c r="O8" s="498" t="str">
        <f>IF(RCB!G34=0,"não",IF(RCB!G34&gt;0,"sim","erro"))</f>
        <v>não</v>
      </c>
      <c r="T8" s="497">
        <f>U8</f>
        <v>1</v>
      </c>
      <c r="U8" s="497">
        <v>1</v>
      </c>
      <c r="W8" s="497">
        <f>$T$8</f>
        <v>1</v>
      </c>
      <c r="X8" s="499">
        <f>SUMIF($W$4:$W$6,$W$8,$X$4:$X$6)</f>
        <v>0.75</v>
      </c>
      <c r="AF8" s="497">
        <v>5</v>
      </c>
      <c r="AG8" s="497" t="s">
        <v>62</v>
      </c>
      <c r="AM8" s="497" t="s">
        <v>61</v>
      </c>
      <c r="AN8" s="501">
        <f>IF(SolarCusto!N27&gt;0,1,0)</f>
        <v>0</v>
      </c>
      <c r="AP8" s="503" t="e">
        <f t="shared" si="0"/>
        <v>#REF!</v>
      </c>
      <c r="AR8" s="497" t="s">
        <v>61</v>
      </c>
      <c r="AS8" s="504">
        <f>RCB!C11</f>
        <v>0</v>
      </c>
      <c r="AU8" s="505">
        <f>IF(COUNT(SolarCusto!V6:V26)=0,0,AVERAGE(SolarCusto!V6:V26))</f>
        <v>0</v>
      </c>
      <c r="AW8" s="497" t="s">
        <v>61</v>
      </c>
      <c r="AX8" s="504">
        <f>RCB!C34</f>
        <v>0</v>
      </c>
      <c r="AZ8" s="505">
        <f>IF(COUNT(SolarCusto!V61:V81)=0,0,AVERAGE(SolarCusto!V61:V81))</f>
        <v>0</v>
      </c>
      <c r="BB8" s="497" t="s">
        <v>63</v>
      </c>
      <c r="BC8" s="506">
        <v>0.73</v>
      </c>
    </row>
    <row r="9" spans="2:55" x14ac:dyDescent="0.25">
      <c r="B9" s="497" t="s">
        <v>64</v>
      </c>
      <c r="C9" s="507">
        <f>COUNTIF($F$6:$F$401,B9)</f>
        <v>105</v>
      </c>
      <c r="D9" s="508"/>
      <c r="E9" s="497" t="s">
        <v>65</v>
      </c>
      <c r="F9" s="497" t="s">
        <v>49</v>
      </c>
      <c r="H9" s="497">
        <v>6</v>
      </c>
      <c r="I9" s="497" t="s">
        <v>66</v>
      </c>
      <c r="K9" s="497" t="s">
        <v>67</v>
      </c>
      <c r="L9" s="498" t="str">
        <f>IF(RCB!G12=0,"não",IF(RCB!G12&gt;0,"sim","erro"))</f>
        <v>não</v>
      </c>
      <c r="N9" s="497" t="s">
        <v>67</v>
      </c>
      <c r="O9" s="498" t="str">
        <f>IF(RCB!G35=0,"não",IF(RCB!G35&gt;0,"sim","erro"))</f>
        <v>não</v>
      </c>
      <c r="Z9" s="497">
        <f>AA9</f>
        <v>3</v>
      </c>
      <c r="AA9" s="497">
        <v>3</v>
      </c>
      <c r="AC9" s="497" t="s">
        <v>10</v>
      </c>
      <c r="AD9" s="500">
        <f>IF(Z9=2,AD5,IF(Z9=3,AD6,IF(Z9=4,AD7,AD4)))</f>
        <v>1</v>
      </c>
      <c r="AM9" s="497" t="s">
        <v>67</v>
      </c>
      <c r="AN9" s="501">
        <f>IF('FI-FVCusto'!N27&gt;0,1,0)</f>
        <v>0</v>
      </c>
      <c r="AP9" s="503" t="e">
        <f t="shared" si="0"/>
        <v>#REF!</v>
      </c>
      <c r="AR9" s="497" t="s">
        <v>67</v>
      </c>
      <c r="AS9" s="504">
        <f>RCB!C12</f>
        <v>0</v>
      </c>
      <c r="AU9" s="505">
        <f>IF(COUNT('FI-FVCusto'!V6:V26)=0,0,AVERAGE('FI-FVCusto'!V6:V26))</f>
        <v>0</v>
      </c>
      <c r="AW9" s="497" t="s">
        <v>67</v>
      </c>
      <c r="AX9" s="504">
        <f>RCB!C35</f>
        <v>0</v>
      </c>
      <c r="AZ9" s="505">
        <f>IF(COUNT('FI-FVCusto'!V61:V81)=0,0,AVERAGE('FI-FVCusto'!V61:V81))</f>
        <v>0</v>
      </c>
      <c r="BB9" s="497" t="s">
        <v>68</v>
      </c>
      <c r="BC9" s="506">
        <v>0.74</v>
      </c>
    </row>
    <row r="10" spans="2:55" x14ac:dyDescent="0.25">
      <c r="B10" s="497" t="s">
        <v>40</v>
      </c>
      <c r="C10" s="507">
        <f>COUNTIF($F$6:$F$401,B10)</f>
        <v>98</v>
      </c>
      <c r="D10" s="508"/>
      <c r="E10" s="497" t="s">
        <v>69</v>
      </c>
      <c r="F10" s="497" t="s">
        <v>58</v>
      </c>
      <c r="H10" s="497">
        <v>7</v>
      </c>
      <c r="I10" s="497" t="s">
        <v>70</v>
      </c>
      <c r="K10" s="497" t="s">
        <v>71</v>
      </c>
      <c r="L10" s="498" t="str">
        <f>IF(RCB!G13=0,"não",IF(RCB!G13&gt;0,"sim","erro"))</f>
        <v>não</v>
      </c>
      <c r="N10" s="497" t="s">
        <v>71</v>
      </c>
      <c r="O10" s="498" t="str">
        <f>IF(RCB!G36=0,"não",IF(RCB!G36&gt;0,"sim","erro"))</f>
        <v>não</v>
      </c>
      <c r="AF10" s="497">
        <f>SUMIF(Lista_Tarifa,AG10,AF4:AF8)</f>
        <v>2</v>
      </c>
      <c r="AG10" s="497" t="s">
        <v>35</v>
      </c>
      <c r="AM10" s="497" t="s">
        <v>71</v>
      </c>
      <c r="AN10" s="501" t="e">
        <f>IF(#REF!&gt;0,1,0)</f>
        <v>#REF!</v>
      </c>
      <c r="AP10" s="503" t="e">
        <f t="shared" si="0"/>
        <v>#REF!</v>
      </c>
      <c r="AR10" s="497" t="s">
        <v>71</v>
      </c>
      <c r="AS10" s="504">
        <f>RCB!C13</f>
        <v>0</v>
      </c>
      <c r="AU10" s="505">
        <f>IF(COUNT(#REF!)=0,0,AVERAGE(#REF!))</f>
        <v>0</v>
      </c>
      <c r="AW10" s="497" t="s">
        <v>71</v>
      </c>
      <c r="AX10" s="504">
        <f>RCB!C36</f>
        <v>0</v>
      </c>
      <c r="AZ10" s="505">
        <f>IF(COUNT(#REF!)=0,0,AVERAGE(#REF!))</f>
        <v>0</v>
      </c>
      <c r="BB10" s="497" t="s">
        <v>72</v>
      </c>
      <c r="BC10" s="506">
        <v>0.49</v>
      </c>
    </row>
    <row r="11" spans="2:55" x14ac:dyDescent="0.25">
      <c r="B11" s="497" t="s">
        <v>73</v>
      </c>
      <c r="C11" s="507">
        <f>SUM(C6:C10)</f>
        <v>396</v>
      </c>
      <c r="E11" s="497" t="s">
        <v>74</v>
      </c>
      <c r="F11" s="497" t="s">
        <v>58</v>
      </c>
      <c r="H11" s="497">
        <v>8</v>
      </c>
      <c r="I11" s="497" t="s">
        <v>75</v>
      </c>
      <c r="K11" s="497" t="s">
        <v>5133</v>
      </c>
      <c r="L11" s="498" t="str">
        <f>IF(RCB!G14=0,"não",IF(RCB!G14&gt;0,"sim","erro"))</f>
        <v>não</v>
      </c>
      <c r="AM11" s="497" t="s">
        <v>76</v>
      </c>
      <c r="AN11" s="501" t="e">
        <f>SUM(AN4:AN10)</f>
        <v>#REF!</v>
      </c>
      <c r="AP11" s="503">
        <v>1000</v>
      </c>
      <c r="AR11" s="497" t="s">
        <v>76</v>
      </c>
      <c r="AS11" s="504">
        <f>SUM(AS4:AS10)</f>
        <v>0</v>
      </c>
      <c r="AU11" s="505">
        <f>IF(AS11=0,0,(AU4*(AS4/AS11))+(AU5*(AS5/AS11))+(AU6*(AS6/AS11))+(AU7*(AS7/AS11))+(AU8*(AS8/AS11))+(AU9*(AS9/AS11))+(AU10*(AS10/AS11)))</f>
        <v>0</v>
      </c>
      <c r="AW11" s="497" t="s">
        <v>76</v>
      </c>
      <c r="AX11" s="504">
        <f>RCB!C37</f>
        <v>0</v>
      </c>
      <c r="AZ11" s="505">
        <f>IF(AX11=0,0,(AZ4*(AX4/AX11))+(AZ5*(AX5/AX11))+(AZ6*(AX6/AX11))+(AZ7*(AX7/AX11))+(AZ8*(AX8/AX11))+(AZ9*(AX9/AX11))+(AZ10*(AX10/AX11)))</f>
        <v>0</v>
      </c>
      <c r="BB11" s="497" t="s">
        <v>77</v>
      </c>
      <c r="BC11" s="506">
        <v>0.55000000000000004</v>
      </c>
    </row>
    <row r="12" spans="2:55" x14ac:dyDescent="0.25">
      <c r="E12" s="497" t="s">
        <v>78</v>
      </c>
      <c r="F12" s="497" t="s">
        <v>58</v>
      </c>
      <c r="BB12" s="497" t="s">
        <v>79</v>
      </c>
      <c r="BC12" s="506">
        <v>0.82</v>
      </c>
    </row>
    <row r="13" spans="2:55" x14ac:dyDescent="0.25">
      <c r="E13" s="497" t="s">
        <v>80</v>
      </c>
      <c r="F13" s="497" t="s">
        <v>58</v>
      </c>
      <c r="BB13" s="497" t="s">
        <v>81</v>
      </c>
      <c r="BC13" s="506">
        <v>0.78</v>
      </c>
    </row>
    <row r="14" spans="2:55" x14ac:dyDescent="0.25">
      <c r="E14" s="497" t="s">
        <v>82</v>
      </c>
      <c r="F14" s="497" t="s">
        <v>58</v>
      </c>
      <c r="I14" s="495" t="s">
        <v>83</v>
      </c>
      <c r="J14" s="497" t="s">
        <v>84</v>
      </c>
      <c r="Q14" s="497" t="s">
        <v>85</v>
      </c>
      <c r="U14" s="509" t="e">
        <f>SUM('FI-FVCusto'!K27,'FI-FVCusto'!K39,'FI-FVCusto'!#REF!,'FI-FVCusto'!K46,'FI-FVCusto'!K47,'FI-FVCusto'!K48,'FI-FVCusto'!K53)</f>
        <v>#REF!</v>
      </c>
      <c r="BB14" s="497" t="s">
        <v>86</v>
      </c>
      <c r="BC14" s="506">
        <v>0.76</v>
      </c>
    </row>
    <row r="15" spans="2:55" x14ac:dyDescent="0.25">
      <c r="E15" s="497" t="s">
        <v>87</v>
      </c>
      <c r="F15" s="497" t="s">
        <v>40</v>
      </c>
      <c r="J15" s="497" t="s">
        <v>88</v>
      </c>
      <c r="U15" s="509">
        <f>CustoContabil!E20</f>
        <v>3000</v>
      </c>
      <c r="BB15" s="497" t="s">
        <v>89</v>
      </c>
      <c r="BC15" s="506">
        <v>0.7</v>
      </c>
    </row>
    <row r="16" spans="2:55" x14ac:dyDescent="0.25">
      <c r="E16" s="497" t="s">
        <v>90</v>
      </c>
      <c r="F16" s="497" t="s">
        <v>58</v>
      </c>
      <c r="J16" s="497" t="s">
        <v>91</v>
      </c>
      <c r="U16" s="497" t="e">
        <f>U14/U15</f>
        <v>#REF!</v>
      </c>
      <c r="BB16" s="497" t="s">
        <v>92</v>
      </c>
      <c r="BC16" s="506">
        <v>0.8</v>
      </c>
    </row>
    <row r="17" spans="5:55" x14ac:dyDescent="0.25">
      <c r="E17" s="497" t="s">
        <v>93</v>
      </c>
      <c r="F17" s="497" t="s">
        <v>64</v>
      </c>
      <c r="U17" s="497" t="e">
        <f>IF(U16&gt;0.5,1,0)</f>
        <v>#REF!</v>
      </c>
      <c r="BB17" s="497" t="s">
        <v>94</v>
      </c>
      <c r="BC17" s="506">
        <v>0.55000000000000004</v>
      </c>
    </row>
    <row r="18" spans="5:55" x14ac:dyDescent="0.25">
      <c r="E18" s="497" t="s">
        <v>95</v>
      </c>
      <c r="F18" s="497" t="s">
        <v>64</v>
      </c>
      <c r="BB18" s="497" t="s">
        <v>96</v>
      </c>
      <c r="BC18" s="506">
        <v>0.81</v>
      </c>
    </row>
    <row r="19" spans="5:55" x14ac:dyDescent="0.25">
      <c r="E19" s="497" t="s">
        <v>97</v>
      </c>
      <c r="F19" s="497" t="s">
        <v>40</v>
      </c>
      <c r="BB19" s="497" t="s">
        <v>98</v>
      </c>
      <c r="BC19" s="506">
        <v>0.56999999999999995</v>
      </c>
    </row>
    <row r="20" spans="5:55" x14ac:dyDescent="0.25">
      <c r="E20" s="497" t="s">
        <v>99</v>
      </c>
      <c r="F20" s="497" t="s">
        <v>40</v>
      </c>
      <c r="BB20" s="497" t="s">
        <v>100</v>
      </c>
      <c r="BC20" s="506">
        <v>0.74</v>
      </c>
    </row>
    <row r="21" spans="5:55" x14ac:dyDescent="0.25">
      <c r="E21" s="497" t="s">
        <v>101</v>
      </c>
      <c r="F21" s="497" t="s">
        <v>49</v>
      </c>
      <c r="BB21" s="497" t="s">
        <v>102</v>
      </c>
      <c r="BC21" s="506">
        <v>0.6</v>
      </c>
    </row>
    <row r="22" spans="5:55" x14ac:dyDescent="0.25">
      <c r="E22" s="497" t="s">
        <v>103</v>
      </c>
      <c r="F22" s="497" t="s">
        <v>38</v>
      </c>
      <c r="BB22" s="497" t="s">
        <v>104</v>
      </c>
      <c r="BC22" s="506">
        <v>0.77</v>
      </c>
    </row>
    <row r="23" spans="5:55" x14ac:dyDescent="0.25">
      <c r="E23" s="497" t="s">
        <v>105</v>
      </c>
      <c r="F23" s="497" t="s">
        <v>40</v>
      </c>
      <c r="BB23" s="497" t="s">
        <v>106</v>
      </c>
      <c r="BC23" s="506">
        <v>0.69</v>
      </c>
    </row>
    <row r="24" spans="5:55" x14ac:dyDescent="0.25">
      <c r="E24" s="497" t="s">
        <v>107</v>
      </c>
      <c r="F24" s="497" t="s">
        <v>40</v>
      </c>
      <c r="BB24" s="497" t="s">
        <v>108</v>
      </c>
      <c r="BC24" s="506">
        <v>0.6</v>
      </c>
    </row>
    <row r="25" spans="5:55" x14ac:dyDescent="0.25">
      <c r="E25" s="497" t="s">
        <v>109</v>
      </c>
      <c r="F25" s="497" t="s">
        <v>38</v>
      </c>
      <c r="BB25" s="497" t="s">
        <v>110</v>
      </c>
      <c r="BC25" s="506">
        <v>0.7</v>
      </c>
    </row>
    <row r="26" spans="5:55" x14ac:dyDescent="0.25">
      <c r="E26" s="497" t="s">
        <v>111</v>
      </c>
      <c r="F26" s="497" t="s">
        <v>40</v>
      </c>
      <c r="BB26" s="497" t="s">
        <v>112</v>
      </c>
      <c r="BC26" s="506">
        <v>0.73</v>
      </c>
    </row>
    <row r="27" spans="5:55" x14ac:dyDescent="0.25">
      <c r="E27" s="497" t="s">
        <v>113</v>
      </c>
      <c r="F27" s="497" t="s">
        <v>58</v>
      </c>
      <c r="BB27" s="497" t="s">
        <v>114</v>
      </c>
      <c r="BC27" s="506">
        <v>0.5</v>
      </c>
    </row>
    <row r="28" spans="5:55" x14ac:dyDescent="0.25">
      <c r="E28" s="497" t="s">
        <v>115</v>
      </c>
      <c r="F28" s="497" t="s">
        <v>49</v>
      </c>
      <c r="BB28" s="497" t="s">
        <v>116</v>
      </c>
      <c r="BC28" s="506">
        <v>0.86</v>
      </c>
    </row>
    <row r="29" spans="5:55" x14ac:dyDescent="0.25">
      <c r="E29" s="497" t="s">
        <v>117</v>
      </c>
      <c r="F29" s="497" t="s">
        <v>40</v>
      </c>
      <c r="BB29" s="497" t="s">
        <v>118</v>
      </c>
      <c r="BC29" s="506">
        <v>0.65</v>
      </c>
    </row>
    <row r="30" spans="5:55" x14ac:dyDescent="0.25">
      <c r="E30" s="497" t="s">
        <v>119</v>
      </c>
      <c r="F30" s="497" t="s">
        <v>40</v>
      </c>
      <c r="BB30" s="508" t="s">
        <v>120</v>
      </c>
    </row>
    <row r="31" spans="5:55" x14ac:dyDescent="0.25">
      <c r="E31" s="497" t="s">
        <v>121</v>
      </c>
      <c r="F31" s="497" t="s">
        <v>64</v>
      </c>
      <c r="BB31" s="508" t="s">
        <v>122</v>
      </c>
    </row>
    <row r="32" spans="5:55" x14ac:dyDescent="0.25">
      <c r="E32" s="497" t="s">
        <v>123</v>
      </c>
      <c r="F32" s="497" t="s">
        <v>40</v>
      </c>
      <c r="BB32" s="508" t="s">
        <v>124</v>
      </c>
    </row>
    <row r="33" spans="5:55" x14ac:dyDescent="0.25">
      <c r="E33" s="497" t="s">
        <v>125</v>
      </c>
      <c r="F33" s="497" t="s">
        <v>58</v>
      </c>
      <c r="BB33" s="497" t="s">
        <v>126</v>
      </c>
    </row>
    <row r="34" spans="5:55" x14ac:dyDescent="0.25">
      <c r="E34" s="497" t="s">
        <v>127</v>
      </c>
      <c r="F34" s="497" t="s">
        <v>49</v>
      </c>
      <c r="BB34" s="497" t="s">
        <v>5874</v>
      </c>
      <c r="BC34" s="497">
        <f>SUMIF(Lista_Solar,BB34,BC4:BC29)</f>
        <v>0</v>
      </c>
    </row>
    <row r="35" spans="5:55" x14ac:dyDescent="0.25">
      <c r="E35" s="497" t="s">
        <v>128</v>
      </c>
      <c r="F35" s="497" t="s">
        <v>40</v>
      </c>
      <c r="BB35" s="497" t="s">
        <v>129</v>
      </c>
    </row>
    <row r="36" spans="5:55" x14ac:dyDescent="0.25">
      <c r="E36" s="497" t="s">
        <v>130</v>
      </c>
      <c r="F36" s="497" t="s">
        <v>58</v>
      </c>
      <c r="BB36" s="497" t="s">
        <v>104</v>
      </c>
      <c r="BC36" s="497">
        <f>SUMIF(Lista_Solar,BB36,BC4:BC29)</f>
        <v>0.77</v>
      </c>
    </row>
    <row r="37" spans="5:55" x14ac:dyDescent="0.25">
      <c r="E37" s="497" t="s">
        <v>131</v>
      </c>
      <c r="F37" s="497" t="s">
        <v>64</v>
      </c>
    </row>
    <row r="38" spans="5:55" x14ac:dyDescent="0.25">
      <c r="E38" s="497" t="s">
        <v>132</v>
      </c>
      <c r="F38" s="497" t="s">
        <v>64</v>
      </c>
    </row>
    <row r="39" spans="5:55" x14ac:dyDescent="0.25">
      <c r="E39" s="497" t="s">
        <v>133</v>
      </c>
      <c r="F39" s="497" t="s">
        <v>40</v>
      </c>
    </row>
    <row r="40" spans="5:55" x14ac:dyDescent="0.25">
      <c r="E40" s="497" t="s">
        <v>134</v>
      </c>
      <c r="F40" s="497" t="s">
        <v>38</v>
      </c>
    </row>
    <row r="41" spans="5:55" x14ac:dyDescent="0.25">
      <c r="E41" s="497" t="s">
        <v>135</v>
      </c>
      <c r="F41" s="497" t="s">
        <v>58</v>
      </c>
    </row>
    <row r="42" spans="5:55" x14ac:dyDescent="0.25">
      <c r="E42" s="497" t="s">
        <v>136</v>
      </c>
      <c r="F42" s="497" t="s">
        <v>64</v>
      </c>
    </row>
    <row r="43" spans="5:55" x14ac:dyDescent="0.25">
      <c r="E43" s="497" t="s">
        <v>137</v>
      </c>
      <c r="F43" s="497" t="s">
        <v>38</v>
      </c>
    </row>
    <row r="44" spans="5:55" x14ac:dyDescent="0.25">
      <c r="E44" s="497" t="s">
        <v>138</v>
      </c>
      <c r="F44" s="497" t="s">
        <v>64</v>
      </c>
    </row>
    <row r="45" spans="5:55" x14ac:dyDescent="0.25">
      <c r="E45" s="497" t="s">
        <v>139</v>
      </c>
      <c r="F45" s="497" t="s">
        <v>49</v>
      </c>
    </row>
    <row r="46" spans="5:55" x14ac:dyDescent="0.25">
      <c r="E46" s="497" t="s">
        <v>140</v>
      </c>
      <c r="F46" s="497" t="s">
        <v>64</v>
      </c>
    </row>
    <row r="47" spans="5:55" x14ac:dyDescent="0.25">
      <c r="E47" s="497" t="s">
        <v>141</v>
      </c>
      <c r="F47" s="497" t="s">
        <v>40</v>
      </c>
    </row>
    <row r="48" spans="5:55" x14ac:dyDescent="0.25">
      <c r="E48" s="497" t="s">
        <v>142</v>
      </c>
      <c r="F48" s="497" t="s">
        <v>64</v>
      </c>
    </row>
    <row r="49" spans="5:6" x14ac:dyDescent="0.25">
      <c r="E49" s="497" t="s">
        <v>143</v>
      </c>
      <c r="F49" s="497" t="s">
        <v>40</v>
      </c>
    </row>
    <row r="50" spans="5:6" x14ac:dyDescent="0.25">
      <c r="E50" s="497" t="s">
        <v>144</v>
      </c>
      <c r="F50" s="497" t="s">
        <v>64</v>
      </c>
    </row>
    <row r="51" spans="5:6" x14ac:dyDescent="0.25">
      <c r="E51" s="497" t="s">
        <v>145</v>
      </c>
      <c r="F51" s="497" t="s">
        <v>58</v>
      </c>
    </row>
    <row r="52" spans="5:6" x14ac:dyDescent="0.25">
      <c r="E52" s="497" t="s">
        <v>146</v>
      </c>
      <c r="F52" s="497" t="s">
        <v>40</v>
      </c>
    </row>
    <row r="53" spans="5:6" x14ac:dyDescent="0.25">
      <c r="E53" s="497" t="s">
        <v>147</v>
      </c>
      <c r="F53" s="497" t="s">
        <v>64</v>
      </c>
    </row>
    <row r="54" spans="5:6" x14ac:dyDescent="0.25">
      <c r="E54" s="497" t="s">
        <v>148</v>
      </c>
      <c r="F54" s="497" t="s">
        <v>58</v>
      </c>
    </row>
    <row r="55" spans="5:6" x14ac:dyDescent="0.25">
      <c r="E55" s="497" t="s">
        <v>149</v>
      </c>
      <c r="F55" s="497" t="s">
        <v>40</v>
      </c>
    </row>
    <row r="56" spans="5:6" x14ac:dyDescent="0.25">
      <c r="E56" s="497" t="s">
        <v>150</v>
      </c>
      <c r="F56" s="497" t="s">
        <v>40</v>
      </c>
    </row>
    <row r="57" spans="5:6" x14ac:dyDescent="0.25">
      <c r="E57" s="497" t="s">
        <v>151</v>
      </c>
      <c r="F57" s="497" t="s">
        <v>40</v>
      </c>
    </row>
    <row r="58" spans="5:6" x14ac:dyDescent="0.25">
      <c r="E58" s="497" t="s">
        <v>152</v>
      </c>
      <c r="F58" s="497" t="s">
        <v>40</v>
      </c>
    </row>
    <row r="59" spans="5:6" x14ac:dyDescent="0.25">
      <c r="E59" s="497" t="s">
        <v>153</v>
      </c>
      <c r="F59" s="497" t="s">
        <v>58</v>
      </c>
    </row>
    <row r="60" spans="5:6" x14ac:dyDescent="0.25">
      <c r="E60" s="497" t="s">
        <v>154</v>
      </c>
      <c r="F60" s="497" t="s">
        <v>38</v>
      </c>
    </row>
    <row r="61" spans="5:6" x14ac:dyDescent="0.25">
      <c r="E61" s="497" t="s">
        <v>155</v>
      </c>
      <c r="F61" s="497" t="s">
        <v>49</v>
      </c>
    </row>
    <row r="62" spans="5:6" x14ac:dyDescent="0.25">
      <c r="E62" s="497" t="s">
        <v>156</v>
      </c>
      <c r="F62" s="497" t="s">
        <v>64</v>
      </c>
    </row>
    <row r="63" spans="5:6" x14ac:dyDescent="0.25">
      <c r="E63" s="497" t="s">
        <v>157</v>
      </c>
      <c r="F63" s="497" t="s">
        <v>49</v>
      </c>
    </row>
    <row r="64" spans="5:6" x14ac:dyDescent="0.25">
      <c r="E64" s="497" t="s">
        <v>158</v>
      </c>
      <c r="F64" s="497" t="s">
        <v>49</v>
      </c>
    </row>
    <row r="65" spans="5:6" x14ac:dyDescent="0.25">
      <c r="E65" s="497" t="s">
        <v>159</v>
      </c>
      <c r="F65" s="497" t="s">
        <v>58</v>
      </c>
    </row>
    <row r="66" spans="5:6" x14ac:dyDescent="0.25">
      <c r="E66" s="497" t="s">
        <v>160</v>
      </c>
      <c r="F66" s="497" t="s">
        <v>40</v>
      </c>
    </row>
    <row r="67" spans="5:6" x14ac:dyDescent="0.25">
      <c r="E67" s="497" t="s">
        <v>161</v>
      </c>
      <c r="F67" s="497" t="s">
        <v>64</v>
      </c>
    </row>
    <row r="68" spans="5:6" x14ac:dyDescent="0.25">
      <c r="E68" s="497" t="s">
        <v>162</v>
      </c>
      <c r="F68" s="497" t="s">
        <v>64</v>
      </c>
    </row>
    <row r="69" spans="5:6" x14ac:dyDescent="0.25">
      <c r="E69" s="497" t="s">
        <v>163</v>
      </c>
      <c r="F69" s="497" t="s">
        <v>64</v>
      </c>
    </row>
    <row r="70" spans="5:6" x14ac:dyDescent="0.25">
      <c r="E70" s="497" t="s">
        <v>164</v>
      </c>
      <c r="F70" s="497" t="s">
        <v>64</v>
      </c>
    </row>
    <row r="71" spans="5:6" x14ac:dyDescent="0.25">
      <c r="E71" s="497" t="s">
        <v>165</v>
      </c>
      <c r="F71" s="497" t="s">
        <v>38</v>
      </c>
    </row>
    <row r="72" spans="5:6" x14ac:dyDescent="0.25">
      <c r="E72" s="497" t="s">
        <v>166</v>
      </c>
      <c r="F72" s="497" t="s">
        <v>40</v>
      </c>
    </row>
    <row r="73" spans="5:6" x14ac:dyDescent="0.25">
      <c r="E73" s="497" t="s">
        <v>167</v>
      </c>
      <c r="F73" s="497" t="s">
        <v>64</v>
      </c>
    </row>
    <row r="74" spans="5:6" x14ac:dyDescent="0.25">
      <c r="E74" s="497" t="s">
        <v>168</v>
      </c>
      <c r="F74" s="497" t="s">
        <v>38</v>
      </c>
    </row>
    <row r="75" spans="5:6" x14ac:dyDescent="0.25">
      <c r="E75" s="497" t="s">
        <v>169</v>
      </c>
      <c r="F75" s="497" t="s">
        <v>64</v>
      </c>
    </row>
    <row r="76" spans="5:6" x14ac:dyDescent="0.25">
      <c r="E76" s="497" t="s">
        <v>170</v>
      </c>
      <c r="F76" s="497" t="s">
        <v>40</v>
      </c>
    </row>
    <row r="77" spans="5:6" x14ac:dyDescent="0.25">
      <c r="E77" s="497" t="s">
        <v>171</v>
      </c>
      <c r="F77" s="497" t="s">
        <v>49</v>
      </c>
    </row>
    <row r="78" spans="5:6" x14ac:dyDescent="0.25">
      <c r="E78" s="497" t="s">
        <v>172</v>
      </c>
      <c r="F78" s="497" t="s">
        <v>64</v>
      </c>
    </row>
    <row r="79" spans="5:6" x14ac:dyDescent="0.25">
      <c r="E79" s="497" t="s">
        <v>173</v>
      </c>
      <c r="F79" s="497" t="s">
        <v>64</v>
      </c>
    </row>
    <row r="80" spans="5:6" x14ac:dyDescent="0.25">
      <c r="E80" s="497" t="s">
        <v>174</v>
      </c>
      <c r="F80" s="497" t="s">
        <v>58</v>
      </c>
    </row>
    <row r="81" spans="5:6" x14ac:dyDescent="0.25">
      <c r="E81" s="497" t="s">
        <v>175</v>
      </c>
      <c r="F81" s="497" t="s">
        <v>58</v>
      </c>
    </row>
    <row r="82" spans="5:6" x14ac:dyDescent="0.25">
      <c r="E82" s="497" t="s">
        <v>176</v>
      </c>
      <c r="F82" s="497" t="s">
        <v>64</v>
      </c>
    </row>
    <row r="83" spans="5:6" x14ac:dyDescent="0.25">
      <c r="E83" s="497" t="s">
        <v>177</v>
      </c>
      <c r="F83" s="497" t="s">
        <v>49</v>
      </c>
    </row>
    <row r="84" spans="5:6" x14ac:dyDescent="0.25">
      <c r="E84" s="497" t="s">
        <v>178</v>
      </c>
      <c r="F84" s="497" t="s">
        <v>58</v>
      </c>
    </row>
    <row r="85" spans="5:6" x14ac:dyDescent="0.25">
      <c r="E85" s="497" t="s">
        <v>179</v>
      </c>
      <c r="F85" s="497" t="s">
        <v>40</v>
      </c>
    </row>
    <row r="86" spans="5:6" x14ac:dyDescent="0.25">
      <c r="E86" s="497" t="s">
        <v>180</v>
      </c>
      <c r="F86" s="497" t="s">
        <v>40</v>
      </c>
    </row>
    <row r="87" spans="5:6" x14ac:dyDescent="0.25">
      <c r="E87" s="497" t="s">
        <v>181</v>
      </c>
      <c r="F87" s="497" t="s">
        <v>49</v>
      </c>
    </row>
    <row r="88" spans="5:6" x14ac:dyDescent="0.25">
      <c r="E88" s="497" t="s">
        <v>182</v>
      </c>
      <c r="F88" s="497" t="s">
        <v>64</v>
      </c>
    </row>
    <row r="89" spans="5:6" x14ac:dyDescent="0.25">
      <c r="E89" s="497" t="s">
        <v>183</v>
      </c>
      <c r="F89" s="497" t="s">
        <v>40</v>
      </c>
    </row>
    <row r="90" spans="5:6" x14ac:dyDescent="0.25">
      <c r="E90" s="497" t="s">
        <v>184</v>
      </c>
      <c r="F90" s="497" t="s">
        <v>64</v>
      </c>
    </row>
    <row r="91" spans="5:6" x14ac:dyDescent="0.25">
      <c r="E91" s="497" t="s">
        <v>185</v>
      </c>
      <c r="F91" s="497" t="s">
        <v>64</v>
      </c>
    </row>
    <row r="92" spans="5:6" x14ac:dyDescent="0.25">
      <c r="E92" s="497" t="s">
        <v>186</v>
      </c>
      <c r="F92" s="497" t="s">
        <v>58</v>
      </c>
    </row>
    <row r="93" spans="5:6" x14ac:dyDescent="0.25">
      <c r="E93" s="497" t="s">
        <v>187</v>
      </c>
      <c r="F93" s="497" t="s">
        <v>38</v>
      </c>
    </row>
    <row r="94" spans="5:6" x14ac:dyDescent="0.25">
      <c r="E94" s="497" t="s">
        <v>188</v>
      </c>
      <c r="F94" s="497" t="s">
        <v>64</v>
      </c>
    </row>
    <row r="95" spans="5:6" x14ac:dyDescent="0.25">
      <c r="E95" s="497" t="s">
        <v>189</v>
      </c>
      <c r="F95" s="497" t="s">
        <v>58</v>
      </c>
    </row>
    <row r="96" spans="5:6" x14ac:dyDescent="0.25">
      <c r="E96" s="497" t="s">
        <v>190</v>
      </c>
      <c r="F96" s="497" t="s">
        <v>58</v>
      </c>
    </row>
    <row r="97" spans="5:6" x14ac:dyDescent="0.25">
      <c r="E97" s="497" t="s">
        <v>191</v>
      </c>
      <c r="F97" s="497" t="s">
        <v>40</v>
      </c>
    </row>
    <row r="98" spans="5:6" x14ac:dyDescent="0.25">
      <c r="E98" s="497" t="s">
        <v>72</v>
      </c>
      <c r="F98" s="497" t="s">
        <v>49</v>
      </c>
    </row>
    <row r="99" spans="5:6" x14ac:dyDescent="0.25">
      <c r="E99" s="497" t="s">
        <v>192</v>
      </c>
      <c r="F99" s="497" t="s">
        <v>38</v>
      </c>
    </row>
    <row r="100" spans="5:6" x14ac:dyDescent="0.25">
      <c r="E100" s="497" t="s">
        <v>193</v>
      </c>
      <c r="F100" s="497" t="s">
        <v>58</v>
      </c>
    </row>
    <row r="101" spans="5:6" x14ac:dyDescent="0.25">
      <c r="E101" s="497" t="s">
        <v>194</v>
      </c>
      <c r="F101" s="497" t="s">
        <v>64</v>
      </c>
    </row>
    <row r="102" spans="5:6" x14ac:dyDescent="0.25">
      <c r="E102" s="497" t="s">
        <v>195</v>
      </c>
      <c r="F102" s="497" t="s">
        <v>64</v>
      </c>
    </row>
    <row r="103" spans="5:6" x14ac:dyDescent="0.25">
      <c r="E103" s="497" t="s">
        <v>196</v>
      </c>
      <c r="F103" s="497" t="s">
        <v>64</v>
      </c>
    </row>
    <row r="104" spans="5:6" x14ac:dyDescent="0.25">
      <c r="E104" s="497" t="s">
        <v>197</v>
      </c>
      <c r="F104" s="497" t="s">
        <v>58</v>
      </c>
    </row>
    <row r="105" spans="5:6" x14ac:dyDescent="0.25">
      <c r="E105" s="497" t="s">
        <v>198</v>
      </c>
      <c r="F105" s="497" t="s">
        <v>58</v>
      </c>
    </row>
    <row r="106" spans="5:6" x14ac:dyDescent="0.25">
      <c r="E106" s="497" t="s">
        <v>199</v>
      </c>
      <c r="F106" s="497" t="s">
        <v>49</v>
      </c>
    </row>
    <row r="107" spans="5:6" x14ac:dyDescent="0.25">
      <c r="E107" s="497" t="s">
        <v>200</v>
      </c>
      <c r="F107" s="497" t="s">
        <v>64</v>
      </c>
    </row>
    <row r="108" spans="5:6" x14ac:dyDescent="0.25">
      <c r="E108" s="497" t="s">
        <v>201</v>
      </c>
      <c r="F108" s="497" t="s">
        <v>58</v>
      </c>
    </row>
    <row r="109" spans="5:6" x14ac:dyDescent="0.25">
      <c r="E109" s="497" t="s">
        <v>202</v>
      </c>
      <c r="F109" s="497" t="s">
        <v>64</v>
      </c>
    </row>
    <row r="110" spans="5:6" x14ac:dyDescent="0.25">
      <c r="E110" s="497" t="s">
        <v>203</v>
      </c>
      <c r="F110" s="497" t="s">
        <v>58</v>
      </c>
    </row>
    <row r="111" spans="5:6" x14ac:dyDescent="0.25">
      <c r="E111" s="497" t="s">
        <v>204</v>
      </c>
      <c r="F111" s="497" t="s">
        <v>64</v>
      </c>
    </row>
    <row r="112" spans="5:6" x14ac:dyDescent="0.25">
      <c r="E112" s="497" t="s">
        <v>205</v>
      </c>
      <c r="F112" s="497" t="s">
        <v>58</v>
      </c>
    </row>
    <row r="113" spans="5:6" x14ac:dyDescent="0.25">
      <c r="E113" s="497" t="s">
        <v>206</v>
      </c>
      <c r="F113" s="497" t="s">
        <v>40</v>
      </c>
    </row>
    <row r="114" spans="5:6" x14ac:dyDescent="0.25">
      <c r="E114" s="497" t="s">
        <v>207</v>
      </c>
      <c r="F114" s="497" t="s">
        <v>49</v>
      </c>
    </row>
    <row r="115" spans="5:6" x14ac:dyDescent="0.25">
      <c r="E115" s="497" t="s">
        <v>208</v>
      </c>
      <c r="F115" s="497" t="s">
        <v>58</v>
      </c>
    </row>
    <row r="116" spans="5:6" x14ac:dyDescent="0.25">
      <c r="E116" s="497" t="s">
        <v>209</v>
      </c>
      <c r="F116" s="497" t="s">
        <v>38</v>
      </c>
    </row>
    <row r="117" spans="5:6" x14ac:dyDescent="0.25">
      <c r="E117" s="497" t="s">
        <v>210</v>
      </c>
      <c r="F117" s="497" t="s">
        <v>38</v>
      </c>
    </row>
    <row r="118" spans="5:6" x14ac:dyDescent="0.25">
      <c r="E118" s="497" t="s">
        <v>211</v>
      </c>
      <c r="F118" s="497" t="s">
        <v>64</v>
      </c>
    </row>
    <row r="119" spans="5:6" x14ac:dyDescent="0.25">
      <c r="E119" s="497" t="s">
        <v>212</v>
      </c>
      <c r="F119" s="497" t="s">
        <v>58</v>
      </c>
    </row>
    <row r="120" spans="5:6" x14ac:dyDescent="0.25">
      <c r="E120" s="497" t="s">
        <v>213</v>
      </c>
      <c r="F120" s="497" t="s">
        <v>58</v>
      </c>
    </row>
    <row r="121" spans="5:6" x14ac:dyDescent="0.25">
      <c r="E121" s="497" t="s">
        <v>214</v>
      </c>
      <c r="F121" s="497" t="s">
        <v>40</v>
      </c>
    </row>
    <row r="122" spans="5:6" x14ac:dyDescent="0.25">
      <c r="E122" s="497" t="s">
        <v>215</v>
      </c>
      <c r="F122" s="497" t="s">
        <v>40</v>
      </c>
    </row>
    <row r="123" spans="5:6" x14ac:dyDescent="0.25">
      <c r="E123" s="497" t="s">
        <v>216</v>
      </c>
      <c r="F123" s="497" t="s">
        <v>64</v>
      </c>
    </row>
    <row r="124" spans="5:6" x14ac:dyDescent="0.25">
      <c r="E124" s="497" t="s">
        <v>217</v>
      </c>
      <c r="F124" s="497" t="s">
        <v>64</v>
      </c>
    </row>
    <row r="125" spans="5:6" x14ac:dyDescent="0.25">
      <c r="E125" s="497" t="s">
        <v>218</v>
      </c>
      <c r="F125" s="497" t="s">
        <v>64</v>
      </c>
    </row>
    <row r="126" spans="5:6" x14ac:dyDescent="0.25">
      <c r="E126" s="497" t="s">
        <v>219</v>
      </c>
      <c r="F126" s="497" t="s">
        <v>58</v>
      </c>
    </row>
    <row r="127" spans="5:6" x14ac:dyDescent="0.25">
      <c r="E127" s="497" t="s">
        <v>220</v>
      </c>
      <c r="F127" s="497" t="s">
        <v>64</v>
      </c>
    </row>
    <row r="128" spans="5:6" x14ac:dyDescent="0.25">
      <c r="E128" s="497" t="s">
        <v>221</v>
      </c>
      <c r="F128" s="497" t="s">
        <v>38</v>
      </c>
    </row>
    <row r="129" spans="5:6" x14ac:dyDescent="0.25">
      <c r="E129" s="497" t="s">
        <v>222</v>
      </c>
      <c r="F129" s="497" t="s">
        <v>40</v>
      </c>
    </row>
    <row r="130" spans="5:6" x14ac:dyDescent="0.25">
      <c r="E130" s="497" t="s">
        <v>223</v>
      </c>
      <c r="F130" s="497" t="s">
        <v>58</v>
      </c>
    </row>
    <row r="131" spans="5:6" x14ac:dyDescent="0.25">
      <c r="E131" s="497" t="s">
        <v>224</v>
      </c>
      <c r="F131" s="497" t="s">
        <v>64</v>
      </c>
    </row>
    <row r="132" spans="5:6" x14ac:dyDescent="0.25">
      <c r="E132" s="497" t="s">
        <v>225</v>
      </c>
      <c r="F132" s="497" t="s">
        <v>40</v>
      </c>
    </row>
    <row r="133" spans="5:6" x14ac:dyDescent="0.25">
      <c r="E133" s="497" t="s">
        <v>226</v>
      </c>
      <c r="F133" s="497" t="s">
        <v>64</v>
      </c>
    </row>
    <row r="134" spans="5:6" x14ac:dyDescent="0.25">
      <c r="E134" s="497" t="s">
        <v>227</v>
      </c>
      <c r="F134" s="497" t="s">
        <v>58</v>
      </c>
    </row>
    <row r="135" spans="5:6" x14ac:dyDescent="0.25">
      <c r="E135" s="497" t="s">
        <v>228</v>
      </c>
      <c r="F135" s="497" t="s">
        <v>38</v>
      </c>
    </row>
    <row r="136" spans="5:6" x14ac:dyDescent="0.25">
      <c r="E136" s="497" t="s">
        <v>229</v>
      </c>
      <c r="F136" s="497" t="s">
        <v>40</v>
      </c>
    </row>
    <row r="137" spans="5:6" x14ac:dyDescent="0.25">
      <c r="E137" s="497" t="s">
        <v>230</v>
      </c>
      <c r="F137" s="497" t="s">
        <v>58</v>
      </c>
    </row>
    <row r="138" spans="5:6" x14ac:dyDescent="0.25">
      <c r="E138" s="497" t="s">
        <v>231</v>
      </c>
      <c r="F138" s="497" t="s">
        <v>40</v>
      </c>
    </row>
    <row r="139" spans="5:6" x14ac:dyDescent="0.25">
      <c r="E139" s="497" t="s">
        <v>232</v>
      </c>
      <c r="F139" s="497" t="s">
        <v>64</v>
      </c>
    </row>
    <row r="140" spans="5:6" x14ac:dyDescent="0.25">
      <c r="E140" s="497" t="s">
        <v>233</v>
      </c>
      <c r="F140" s="497" t="s">
        <v>38</v>
      </c>
    </row>
    <row r="141" spans="5:6" x14ac:dyDescent="0.25">
      <c r="E141" s="497" t="s">
        <v>234</v>
      </c>
      <c r="F141" s="497" t="s">
        <v>49</v>
      </c>
    </row>
    <row r="142" spans="5:6" x14ac:dyDescent="0.25">
      <c r="E142" s="497" t="s">
        <v>235</v>
      </c>
      <c r="F142" s="497" t="s">
        <v>49</v>
      </c>
    </row>
    <row r="143" spans="5:6" x14ac:dyDescent="0.25">
      <c r="E143" s="497" t="s">
        <v>236</v>
      </c>
      <c r="F143" s="497" t="s">
        <v>64</v>
      </c>
    </row>
    <row r="144" spans="5:6" x14ac:dyDescent="0.25">
      <c r="E144" s="497" t="s">
        <v>237</v>
      </c>
      <c r="F144" s="497" t="s">
        <v>40</v>
      </c>
    </row>
    <row r="145" spans="5:6" x14ac:dyDescent="0.25">
      <c r="E145" s="497" t="s">
        <v>238</v>
      </c>
      <c r="F145" s="497" t="s">
        <v>64</v>
      </c>
    </row>
    <row r="146" spans="5:6" x14ac:dyDescent="0.25">
      <c r="E146" s="497" t="s">
        <v>239</v>
      </c>
      <c r="F146" s="497" t="s">
        <v>40</v>
      </c>
    </row>
    <row r="147" spans="5:6" x14ac:dyDescent="0.25">
      <c r="E147" s="497" t="s">
        <v>240</v>
      </c>
      <c r="F147" s="497" t="s">
        <v>58</v>
      </c>
    </row>
    <row r="148" spans="5:6" x14ac:dyDescent="0.25">
      <c r="E148" s="497" t="s">
        <v>241</v>
      </c>
      <c r="F148" s="497" t="s">
        <v>40</v>
      </c>
    </row>
    <row r="149" spans="5:6" x14ac:dyDescent="0.25">
      <c r="E149" s="497" t="s">
        <v>242</v>
      </c>
      <c r="F149" s="497" t="s">
        <v>64</v>
      </c>
    </row>
    <row r="150" spans="5:6" x14ac:dyDescent="0.25">
      <c r="E150" s="497" t="s">
        <v>243</v>
      </c>
      <c r="F150" s="497" t="s">
        <v>38</v>
      </c>
    </row>
    <row r="151" spans="5:6" x14ac:dyDescent="0.25">
      <c r="E151" s="497" t="s">
        <v>244</v>
      </c>
      <c r="F151" s="497" t="s">
        <v>38</v>
      </c>
    </row>
    <row r="152" spans="5:6" x14ac:dyDescent="0.25">
      <c r="E152" s="497" t="s">
        <v>245</v>
      </c>
      <c r="F152" s="497" t="s">
        <v>38</v>
      </c>
    </row>
    <row r="153" spans="5:6" x14ac:dyDescent="0.25">
      <c r="E153" s="497" t="s">
        <v>246</v>
      </c>
      <c r="F153" s="497" t="s">
        <v>58</v>
      </c>
    </row>
    <row r="154" spans="5:6" x14ac:dyDescent="0.25">
      <c r="E154" s="497" t="s">
        <v>247</v>
      </c>
      <c r="F154" s="497" t="s">
        <v>58</v>
      </c>
    </row>
    <row r="155" spans="5:6" x14ac:dyDescent="0.25">
      <c r="E155" s="497" t="s">
        <v>248</v>
      </c>
      <c r="F155" s="497" t="s">
        <v>38</v>
      </c>
    </row>
    <row r="156" spans="5:6" x14ac:dyDescent="0.25">
      <c r="E156" s="497" t="s">
        <v>249</v>
      </c>
      <c r="F156" s="497" t="s">
        <v>58</v>
      </c>
    </row>
    <row r="157" spans="5:6" x14ac:dyDescent="0.25">
      <c r="E157" s="497" t="s">
        <v>250</v>
      </c>
      <c r="F157" s="497" t="s">
        <v>64</v>
      </c>
    </row>
    <row r="158" spans="5:6" x14ac:dyDescent="0.25">
      <c r="E158" s="497" t="s">
        <v>251</v>
      </c>
      <c r="F158" s="497" t="s">
        <v>38</v>
      </c>
    </row>
    <row r="159" spans="5:6" x14ac:dyDescent="0.25">
      <c r="E159" s="497" t="s">
        <v>252</v>
      </c>
      <c r="F159" s="497" t="s">
        <v>58</v>
      </c>
    </row>
    <row r="160" spans="5:6" x14ac:dyDescent="0.25">
      <c r="E160" s="497" t="s">
        <v>253</v>
      </c>
      <c r="F160" s="497" t="s">
        <v>58</v>
      </c>
    </row>
    <row r="161" spans="5:6" x14ac:dyDescent="0.25">
      <c r="E161" s="497" t="s">
        <v>254</v>
      </c>
      <c r="F161" s="497" t="s">
        <v>64</v>
      </c>
    </row>
    <row r="162" spans="5:6" x14ac:dyDescent="0.25">
      <c r="E162" s="497" t="s">
        <v>255</v>
      </c>
      <c r="F162" s="497" t="s">
        <v>40</v>
      </c>
    </row>
    <row r="163" spans="5:6" x14ac:dyDescent="0.25">
      <c r="E163" s="497" t="s">
        <v>256</v>
      </c>
      <c r="F163" s="497" t="s">
        <v>58</v>
      </c>
    </row>
    <row r="164" spans="5:6" x14ac:dyDescent="0.25">
      <c r="E164" s="497" t="s">
        <v>257</v>
      </c>
      <c r="F164" s="497" t="s">
        <v>64</v>
      </c>
    </row>
    <row r="165" spans="5:6" x14ac:dyDescent="0.25">
      <c r="E165" s="497" t="s">
        <v>258</v>
      </c>
      <c r="F165" s="497" t="s">
        <v>49</v>
      </c>
    </row>
    <row r="166" spans="5:6" x14ac:dyDescent="0.25">
      <c r="E166" s="497" t="s">
        <v>259</v>
      </c>
      <c r="F166" s="497" t="s">
        <v>58</v>
      </c>
    </row>
    <row r="167" spans="5:6" x14ac:dyDescent="0.25">
      <c r="E167" s="497" t="s">
        <v>260</v>
      </c>
      <c r="F167" s="497" t="s">
        <v>38</v>
      </c>
    </row>
    <row r="168" spans="5:6" x14ac:dyDescent="0.25">
      <c r="E168" s="497" t="s">
        <v>261</v>
      </c>
      <c r="F168" s="497" t="s">
        <v>40</v>
      </c>
    </row>
    <row r="169" spans="5:6" x14ac:dyDescent="0.25">
      <c r="E169" s="497" t="s">
        <v>262</v>
      </c>
      <c r="F169" s="497" t="s">
        <v>58</v>
      </c>
    </row>
    <row r="170" spans="5:6" x14ac:dyDescent="0.25">
      <c r="E170" s="497" t="s">
        <v>263</v>
      </c>
      <c r="F170" s="497" t="s">
        <v>58</v>
      </c>
    </row>
    <row r="171" spans="5:6" x14ac:dyDescent="0.25">
      <c r="E171" s="497" t="s">
        <v>264</v>
      </c>
      <c r="F171" s="497" t="s">
        <v>40</v>
      </c>
    </row>
    <row r="172" spans="5:6" x14ac:dyDescent="0.25">
      <c r="E172" s="497" t="s">
        <v>265</v>
      </c>
      <c r="F172" s="497" t="s">
        <v>40</v>
      </c>
    </row>
    <row r="173" spans="5:6" x14ac:dyDescent="0.25">
      <c r="E173" s="497" t="s">
        <v>266</v>
      </c>
      <c r="F173" s="497" t="s">
        <v>38</v>
      </c>
    </row>
    <row r="174" spans="5:6" x14ac:dyDescent="0.25">
      <c r="E174" s="497" t="s">
        <v>267</v>
      </c>
      <c r="F174" s="497" t="s">
        <v>40</v>
      </c>
    </row>
    <row r="175" spans="5:6" x14ac:dyDescent="0.25">
      <c r="E175" s="497" t="s">
        <v>268</v>
      </c>
      <c r="F175" s="497" t="s">
        <v>58</v>
      </c>
    </row>
    <row r="176" spans="5:6" x14ac:dyDescent="0.25">
      <c r="E176" s="497" t="s">
        <v>269</v>
      </c>
      <c r="F176" s="497" t="s">
        <v>40</v>
      </c>
    </row>
    <row r="177" spans="5:6" x14ac:dyDescent="0.25">
      <c r="E177" s="497" t="s">
        <v>270</v>
      </c>
      <c r="F177" s="497" t="s">
        <v>58</v>
      </c>
    </row>
    <row r="178" spans="5:6" x14ac:dyDescent="0.25">
      <c r="E178" s="497" t="s">
        <v>271</v>
      </c>
      <c r="F178" s="497" t="s">
        <v>40</v>
      </c>
    </row>
    <row r="179" spans="5:6" x14ac:dyDescent="0.25">
      <c r="E179" s="497" t="s">
        <v>272</v>
      </c>
      <c r="F179" s="497" t="s">
        <v>58</v>
      </c>
    </row>
    <row r="180" spans="5:6" x14ac:dyDescent="0.25">
      <c r="E180" s="497" t="s">
        <v>273</v>
      </c>
      <c r="F180" s="497" t="s">
        <v>40</v>
      </c>
    </row>
    <row r="181" spans="5:6" x14ac:dyDescent="0.25">
      <c r="E181" s="497" t="s">
        <v>274</v>
      </c>
      <c r="F181" s="497" t="s">
        <v>64</v>
      </c>
    </row>
    <row r="182" spans="5:6" x14ac:dyDescent="0.25">
      <c r="E182" s="497" t="s">
        <v>275</v>
      </c>
      <c r="F182" s="497" t="s">
        <v>40</v>
      </c>
    </row>
    <row r="183" spans="5:6" x14ac:dyDescent="0.25">
      <c r="E183" s="497" t="s">
        <v>276</v>
      </c>
      <c r="F183" s="497" t="s">
        <v>40</v>
      </c>
    </row>
    <row r="184" spans="5:6" x14ac:dyDescent="0.25">
      <c r="E184" s="497" t="s">
        <v>277</v>
      </c>
      <c r="F184" s="497" t="s">
        <v>58</v>
      </c>
    </row>
    <row r="185" spans="5:6" x14ac:dyDescent="0.25">
      <c r="E185" s="497" t="s">
        <v>278</v>
      </c>
      <c r="F185" s="497" t="s">
        <v>58</v>
      </c>
    </row>
    <row r="186" spans="5:6" x14ac:dyDescent="0.25">
      <c r="E186" s="497" t="s">
        <v>279</v>
      </c>
      <c r="F186" s="497" t="s">
        <v>40</v>
      </c>
    </row>
    <row r="187" spans="5:6" x14ac:dyDescent="0.25">
      <c r="E187" s="497" t="s">
        <v>280</v>
      </c>
      <c r="F187" s="497" t="s">
        <v>49</v>
      </c>
    </row>
    <row r="188" spans="5:6" x14ac:dyDescent="0.25">
      <c r="E188" s="497" t="s">
        <v>281</v>
      </c>
      <c r="F188" s="497" t="s">
        <v>38</v>
      </c>
    </row>
    <row r="189" spans="5:6" x14ac:dyDescent="0.25">
      <c r="E189" s="497" t="s">
        <v>282</v>
      </c>
      <c r="F189" s="497" t="s">
        <v>64</v>
      </c>
    </row>
    <row r="190" spans="5:6" x14ac:dyDescent="0.25">
      <c r="E190" s="497" t="s">
        <v>283</v>
      </c>
      <c r="F190" s="497" t="s">
        <v>40</v>
      </c>
    </row>
    <row r="191" spans="5:6" x14ac:dyDescent="0.25">
      <c r="E191" s="497" t="s">
        <v>284</v>
      </c>
      <c r="F191" s="497" t="s">
        <v>40</v>
      </c>
    </row>
    <row r="192" spans="5:6" x14ac:dyDescent="0.25">
      <c r="E192" s="497" t="s">
        <v>285</v>
      </c>
      <c r="F192" s="497" t="s">
        <v>64</v>
      </c>
    </row>
    <row r="193" spans="5:6" x14ac:dyDescent="0.25">
      <c r="E193" s="497" t="s">
        <v>286</v>
      </c>
      <c r="F193" s="497" t="s">
        <v>58</v>
      </c>
    </row>
    <row r="194" spans="5:6" x14ac:dyDescent="0.25">
      <c r="E194" s="497" t="s">
        <v>287</v>
      </c>
      <c r="F194" s="497" t="s">
        <v>40</v>
      </c>
    </row>
    <row r="195" spans="5:6" x14ac:dyDescent="0.25">
      <c r="E195" s="497" t="s">
        <v>288</v>
      </c>
      <c r="F195" s="497" t="s">
        <v>40</v>
      </c>
    </row>
    <row r="196" spans="5:6" x14ac:dyDescent="0.25">
      <c r="E196" s="497" t="s">
        <v>289</v>
      </c>
      <c r="F196" s="497" t="s">
        <v>58</v>
      </c>
    </row>
    <row r="197" spans="5:6" x14ac:dyDescent="0.25">
      <c r="E197" s="497" t="s">
        <v>290</v>
      </c>
      <c r="F197" s="497" t="s">
        <v>40</v>
      </c>
    </row>
    <row r="198" spans="5:6" x14ac:dyDescent="0.25">
      <c r="E198" s="497" t="s">
        <v>291</v>
      </c>
      <c r="F198" s="497" t="s">
        <v>40</v>
      </c>
    </row>
    <row r="199" spans="5:6" x14ac:dyDescent="0.25">
      <c r="E199" s="497" t="s">
        <v>292</v>
      </c>
      <c r="F199" s="497" t="s">
        <v>38</v>
      </c>
    </row>
    <row r="200" spans="5:6" x14ac:dyDescent="0.25">
      <c r="E200" s="497" t="s">
        <v>293</v>
      </c>
      <c r="F200" s="497" t="s">
        <v>58</v>
      </c>
    </row>
    <row r="201" spans="5:6" x14ac:dyDescent="0.25">
      <c r="E201" s="497" t="s">
        <v>294</v>
      </c>
      <c r="F201" s="497" t="s">
        <v>58</v>
      </c>
    </row>
    <row r="202" spans="5:6" x14ac:dyDescent="0.25">
      <c r="E202" s="497" t="s">
        <v>295</v>
      </c>
      <c r="F202" s="497" t="s">
        <v>58</v>
      </c>
    </row>
    <row r="203" spans="5:6" x14ac:dyDescent="0.25">
      <c r="E203" s="497" t="s">
        <v>296</v>
      </c>
      <c r="F203" s="497" t="s">
        <v>49</v>
      </c>
    </row>
    <row r="204" spans="5:6" x14ac:dyDescent="0.25">
      <c r="E204" s="497" t="s">
        <v>297</v>
      </c>
      <c r="F204" s="497" t="s">
        <v>64</v>
      </c>
    </row>
    <row r="205" spans="5:6" x14ac:dyDescent="0.25">
      <c r="E205" s="497" t="s">
        <v>298</v>
      </c>
      <c r="F205" s="497" t="s">
        <v>64</v>
      </c>
    </row>
    <row r="206" spans="5:6" x14ac:dyDescent="0.25">
      <c r="E206" s="497" t="s">
        <v>299</v>
      </c>
      <c r="F206" s="497" t="s">
        <v>40</v>
      </c>
    </row>
    <row r="207" spans="5:6" x14ac:dyDescent="0.25">
      <c r="E207" s="497" t="s">
        <v>300</v>
      </c>
      <c r="F207" s="497" t="s">
        <v>64</v>
      </c>
    </row>
    <row r="208" spans="5:6" x14ac:dyDescent="0.25">
      <c r="E208" s="497" t="s">
        <v>301</v>
      </c>
      <c r="F208" s="497" t="s">
        <v>58</v>
      </c>
    </row>
    <row r="209" spans="5:6" x14ac:dyDescent="0.25">
      <c r="E209" s="497" t="s">
        <v>302</v>
      </c>
      <c r="F209" s="497" t="s">
        <v>58</v>
      </c>
    </row>
    <row r="210" spans="5:6" x14ac:dyDescent="0.25">
      <c r="E210" s="497" t="s">
        <v>303</v>
      </c>
      <c r="F210" s="497" t="s">
        <v>40</v>
      </c>
    </row>
    <row r="211" spans="5:6" x14ac:dyDescent="0.25">
      <c r="E211" s="497" t="s">
        <v>304</v>
      </c>
      <c r="F211" s="497" t="s">
        <v>58</v>
      </c>
    </row>
    <row r="212" spans="5:6" x14ac:dyDescent="0.25">
      <c r="E212" s="497" t="s">
        <v>305</v>
      </c>
      <c r="F212" s="497" t="s">
        <v>58</v>
      </c>
    </row>
    <row r="213" spans="5:6" x14ac:dyDescent="0.25">
      <c r="E213" s="497" t="s">
        <v>306</v>
      </c>
      <c r="F213" s="497" t="s">
        <v>58</v>
      </c>
    </row>
    <row r="214" spans="5:6" x14ac:dyDescent="0.25">
      <c r="E214" s="497" t="s">
        <v>307</v>
      </c>
      <c r="F214" s="497" t="s">
        <v>64</v>
      </c>
    </row>
    <row r="215" spans="5:6" x14ac:dyDescent="0.25">
      <c r="E215" s="497" t="s">
        <v>308</v>
      </c>
      <c r="F215" s="497" t="s">
        <v>64</v>
      </c>
    </row>
    <row r="216" spans="5:6" x14ac:dyDescent="0.25">
      <c r="E216" s="497" t="s">
        <v>309</v>
      </c>
      <c r="F216" s="497" t="s">
        <v>64</v>
      </c>
    </row>
    <row r="217" spans="5:6" x14ac:dyDescent="0.25">
      <c r="E217" s="497" t="s">
        <v>310</v>
      </c>
      <c r="F217" s="497" t="s">
        <v>64</v>
      </c>
    </row>
    <row r="218" spans="5:6" x14ac:dyDescent="0.25">
      <c r="E218" s="497" t="s">
        <v>311</v>
      </c>
      <c r="F218" s="497" t="s">
        <v>40</v>
      </c>
    </row>
    <row r="219" spans="5:6" x14ac:dyDescent="0.25">
      <c r="E219" s="497" t="s">
        <v>312</v>
      </c>
      <c r="F219" s="497" t="s">
        <v>64</v>
      </c>
    </row>
    <row r="220" spans="5:6" x14ac:dyDescent="0.25">
      <c r="E220" s="497" t="s">
        <v>313</v>
      </c>
      <c r="F220" s="497" t="s">
        <v>49</v>
      </c>
    </row>
    <row r="221" spans="5:6" x14ac:dyDescent="0.25">
      <c r="E221" s="497" t="s">
        <v>314</v>
      </c>
      <c r="F221" s="497" t="s">
        <v>58</v>
      </c>
    </row>
    <row r="222" spans="5:6" x14ac:dyDescent="0.25">
      <c r="E222" s="497" t="s">
        <v>315</v>
      </c>
      <c r="F222" s="497" t="s">
        <v>40</v>
      </c>
    </row>
    <row r="223" spans="5:6" x14ac:dyDescent="0.25">
      <c r="E223" s="497" t="s">
        <v>316</v>
      </c>
      <c r="F223" s="497" t="s">
        <v>64</v>
      </c>
    </row>
    <row r="224" spans="5:6" x14ac:dyDescent="0.25">
      <c r="E224" s="497" t="s">
        <v>317</v>
      </c>
      <c r="F224" s="497" t="s">
        <v>64</v>
      </c>
    </row>
    <row r="225" spans="5:6" x14ac:dyDescent="0.25">
      <c r="E225" s="497" t="s">
        <v>318</v>
      </c>
      <c r="F225" s="497" t="s">
        <v>58</v>
      </c>
    </row>
    <row r="226" spans="5:6" x14ac:dyDescent="0.25">
      <c r="E226" s="497" t="s">
        <v>319</v>
      </c>
      <c r="F226" s="497" t="s">
        <v>40</v>
      </c>
    </row>
    <row r="227" spans="5:6" x14ac:dyDescent="0.25">
      <c r="E227" s="497" t="s">
        <v>320</v>
      </c>
      <c r="F227" s="497" t="s">
        <v>64</v>
      </c>
    </row>
    <row r="228" spans="5:6" x14ac:dyDescent="0.25">
      <c r="E228" s="497" t="s">
        <v>321</v>
      </c>
      <c r="F228" s="497" t="s">
        <v>58</v>
      </c>
    </row>
    <row r="229" spans="5:6" x14ac:dyDescent="0.25">
      <c r="E229" s="497" t="s">
        <v>322</v>
      </c>
      <c r="F229" s="497" t="s">
        <v>49</v>
      </c>
    </row>
    <row r="230" spans="5:6" x14ac:dyDescent="0.25">
      <c r="E230" s="497" t="s">
        <v>323</v>
      </c>
      <c r="F230" s="497" t="s">
        <v>40</v>
      </c>
    </row>
    <row r="231" spans="5:6" x14ac:dyDescent="0.25">
      <c r="E231" s="497" t="s">
        <v>324</v>
      </c>
      <c r="F231" s="497" t="s">
        <v>40</v>
      </c>
    </row>
    <row r="232" spans="5:6" x14ac:dyDescent="0.25">
      <c r="E232" s="497" t="s">
        <v>325</v>
      </c>
      <c r="F232" s="497" t="s">
        <v>58</v>
      </c>
    </row>
    <row r="233" spans="5:6" x14ac:dyDescent="0.25">
      <c r="E233" s="497" t="s">
        <v>326</v>
      </c>
      <c r="F233" s="497" t="s">
        <v>40</v>
      </c>
    </row>
    <row r="234" spans="5:6" x14ac:dyDescent="0.25">
      <c r="E234" s="497" t="s">
        <v>327</v>
      </c>
      <c r="F234" s="497" t="s">
        <v>64</v>
      </c>
    </row>
    <row r="235" spans="5:6" x14ac:dyDescent="0.25">
      <c r="E235" s="497" t="s">
        <v>328</v>
      </c>
      <c r="F235" s="497" t="s">
        <v>58</v>
      </c>
    </row>
    <row r="236" spans="5:6" x14ac:dyDescent="0.25">
      <c r="E236" s="497" t="s">
        <v>329</v>
      </c>
      <c r="F236" s="497" t="s">
        <v>58</v>
      </c>
    </row>
    <row r="237" spans="5:6" x14ac:dyDescent="0.25">
      <c r="E237" s="497" t="s">
        <v>330</v>
      </c>
      <c r="F237" s="497" t="s">
        <v>64</v>
      </c>
    </row>
    <row r="238" spans="5:6" x14ac:dyDescent="0.25">
      <c r="E238" s="497" t="s">
        <v>331</v>
      </c>
      <c r="F238" s="497" t="s">
        <v>40</v>
      </c>
    </row>
    <row r="239" spans="5:6" x14ac:dyDescent="0.25">
      <c r="E239" s="497" t="s">
        <v>332</v>
      </c>
      <c r="F239" s="497" t="s">
        <v>64</v>
      </c>
    </row>
    <row r="240" spans="5:6" x14ac:dyDescent="0.25">
      <c r="E240" s="497" t="s">
        <v>333</v>
      </c>
      <c r="F240" s="497" t="s">
        <v>58</v>
      </c>
    </row>
    <row r="241" spans="5:6" x14ac:dyDescent="0.25">
      <c r="E241" s="497" t="s">
        <v>334</v>
      </c>
      <c r="F241" s="497" t="s">
        <v>58</v>
      </c>
    </row>
    <row r="242" spans="5:6" x14ac:dyDescent="0.25">
      <c r="E242" s="497" t="s">
        <v>335</v>
      </c>
      <c r="F242" s="497" t="s">
        <v>64</v>
      </c>
    </row>
    <row r="243" spans="5:6" x14ac:dyDescent="0.25">
      <c r="E243" s="497" t="s">
        <v>336</v>
      </c>
      <c r="F243" s="497" t="s">
        <v>40</v>
      </c>
    </row>
    <row r="244" spans="5:6" x14ac:dyDescent="0.25">
      <c r="E244" s="497" t="s">
        <v>337</v>
      </c>
      <c r="F244" s="497" t="s">
        <v>64</v>
      </c>
    </row>
    <row r="245" spans="5:6" x14ac:dyDescent="0.25">
      <c r="E245" s="497" t="s">
        <v>338</v>
      </c>
      <c r="F245" s="497" t="s">
        <v>58</v>
      </c>
    </row>
    <row r="246" spans="5:6" x14ac:dyDescent="0.25">
      <c r="E246" s="497" t="s">
        <v>339</v>
      </c>
      <c r="F246" s="497" t="s">
        <v>40</v>
      </c>
    </row>
    <row r="247" spans="5:6" x14ac:dyDescent="0.25">
      <c r="E247" s="497" t="s">
        <v>340</v>
      </c>
      <c r="F247" s="497" t="s">
        <v>38</v>
      </c>
    </row>
    <row r="248" spans="5:6" x14ac:dyDescent="0.25">
      <c r="E248" s="497" t="s">
        <v>341</v>
      </c>
      <c r="F248" s="497" t="s">
        <v>58</v>
      </c>
    </row>
    <row r="249" spans="5:6" x14ac:dyDescent="0.25">
      <c r="E249" s="497" t="s">
        <v>342</v>
      </c>
      <c r="F249" s="497" t="s">
        <v>64</v>
      </c>
    </row>
    <row r="250" spans="5:6" x14ac:dyDescent="0.25">
      <c r="E250" s="497" t="s">
        <v>343</v>
      </c>
      <c r="F250" s="497" t="s">
        <v>58</v>
      </c>
    </row>
    <row r="251" spans="5:6" x14ac:dyDescent="0.25">
      <c r="E251" s="497" t="s">
        <v>344</v>
      </c>
      <c r="F251" s="497" t="s">
        <v>64</v>
      </c>
    </row>
    <row r="252" spans="5:6" x14ac:dyDescent="0.25">
      <c r="E252" s="497" t="s">
        <v>345</v>
      </c>
      <c r="F252" s="497" t="s">
        <v>38</v>
      </c>
    </row>
    <row r="253" spans="5:6" x14ac:dyDescent="0.25">
      <c r="E253" s="497" t="s">
        <v>346</v>
      </c>
      <c r="F253" s="497" t="s">
        <v>38</v>
      </c>
    </row>
    <row r="254" spans="5:6" x14ac:dyDescent="0.25">
      <c r="E254" s="497" t="s">
        <v>347</v>
      </c>
      <c r="F254" s="497" t="s">
        <v>64</v>
      </c>
    </row>
    <row r="255" spans="5:6" x14ac:dyDescent="0.25">
      <c r="E255" s="497" t="s">
        <v>348</v>
      </c>
      <c r="F255" s="497" t="s">
        <v>58</v>
      </c>
    </row>
    <row r="256" spans="5:6" x14ac:dyDescent="0.25">
      <c r="E256" s="497" t="s">
        <v>349</v>
      </c>
      <c r="F256" s="497" t="s">
        <v>58</v>
      </c>
    </row>
    <row r="257" spans="5:6" x14ac:dyDescent="0.25">
      <c r="E257" s="497" t="s">
        <v>350</v>
      </c>
      <c r="F257" s="497" t="s">
        <v>49</v>
      </c>
    </row>
    <row r="258" spans="5:6" x14ac:dyDescent="0.25">
      <c r="E258" s="497" t="s">
        <v>351</v>
      </c>
      <c r="F258" s="497" t="s">
        <v>58</v>
      </c>
    </row>
    <row r="259" spans="5:6" x14ac:dyDescent="0.25">
      <c r="E259" s="497" t="s">
        <v>352</v>
      </c>
      <c r="F259" s="497" t="s">
        <v>58</v>
      </c>
    </row>
    <row r="260" spans="5:6" x14ac:dyDescent="0.25">
      <c r="E260" s="497" t="s">
        <v>353</v>
      </c>
      <c r="F260" s="497" t="s">
        <v>64</v>
      </c>
    </row>
    <row r="261" spans="5:6" x14ac:dyDescent="0.25">
      <c r="E261" s="497" t="s">
        <v>354</v>
      </c>
      <c r="F261" s="497" t="s">
        <v>64</v>
      </c>
    </row>
    <row r="262" spans="5:6" x14ac:dyDescent="0.25">
      <c r="E262" s="497" t="s">
        <v>355</v>
      </c>
      <c r="F262" s="497" t="s">
        <v>38</v>
      </c>
    </row>
    <row r="263" spans="5:6" x14ac:dyDescent="0.25">
      <c r="E263" s="497" t="s">
        <v>356</v>
      </c>
      <c r="F263" s="497" t="s">
        <v>38</v>
      </c>
    </row>
    <row r="264" spans="5:6" x14ac:dyDescent="0.25">
      <c r="E264" s="497" t="s">
        <v>357</v>
      </c>
      <c r="F264" s="497" t="s">
        <v>58</v>
      </c>
    </row>
    <row r="265" spans="5:6" x14ac:dyDescent="0.25">
      <c r="E265" s="497" t="s">
        <v>358</v>
      </c>
      <c r="F265" s="497" t="s">
        <v>58</v>
      </c>
    </row>
    <row r="266" spans="5:6" x14ac:dyDescent="0.25">
      <c r="E266" s="497" t="s">
        <v>359</v>
      </c>
      <c r="F266" s="497" t="s">
        <v>58</v>
      </c>
    </row>
    <row r="267" spans="5:6" x14ac:dyDescent="0.25">
      <c r="E267" s="497" t="s">
        <v>360</v>
      </c>
      <c r="F267" s="497" t="s">
        <v>64</v>
      </c>
    </row>
    <row r="268" spans="5:6" x14ac:dyDescent="0.25">
      <c r="E268" s="497" t="s">
        <v>361</v>
      </c>
      <c r="F268" s="497" t="s">
        <v>49</v>
      </c>
    </row>
    <row r="269" spans="5:6" x14ac:dyDescent="0.25">
      <c r="E269" s="497" t="s">
        <v>362</v>
      </c>
      <c r="F269" s="497" t="s">
        <v>49</v>
      </c>
    </row>
    <row r="270" spans="5:6" x14ac:dyDescent="0.25">
      <c r="E270" s="497" t="s">
        <v>363</v>
      </c>
      <c r="F270" s="497" t="s">
        <v>64</v>
      </c>
    </row>
    <row r="271" spans="5:6" x14ac:dyDescent="0.25">
      <c r="E271" s="497" t="s">
        <v>364</v>
      </c>
      <c r="F271" s="497" t="s">
        <v>40</v>
      </c>
    </row>
    <row r="272" spans="5:6" x14ac:dyDescent="0.25">
      <c r="E272" s="497" t="s">
        <v>365</v>
      </c>
      <c r="F272" s="497" t="s">
        <v>38</v>
      </c>
    </row>
    <row r="273" spans="5:6" x14ac:dyDescent="0.25">
      <c r="E273" s="497" t="s">
        <v>366</v>
      </c>
      <c r="F273" s="497" t="s">
        <v>38</v>
      </c>
    </row>
    <row r="274" spans="5:6" x14ac:dyDescent="0.25">
      <c r="E274" s="497" t="s">
        <v>367</v>
      </c>
      <c r="F274" s="497" t="s">
        <v>49</v>
      </c>
    </row>
    <row r="275" spans="5:6" x14ac:dyDescent="0.25">
      <c r="E275" s="497" t="s">
        <v>368</v>
      </c>
      <c r="F275" s="497" t="s">
        <v>38</v>
      </c>
    </row>
    <row r="276" spans="5:6" x14ac:dyDescent="0.25">
      <c r="E276" s="497" t="s">
        <v>369</v>
      </c>
      <c r="F276" s="497" t="s">
        <v>40</v>
      </c>
    </row>
    <row r="277" spans="5:6" x14ac:dyDescent="0.25">
      <c r="E277" s="497" t="s">
        <v>370</v>
      </c>
      <c r="F277" s="497" t="s">
        <v>58</v>
      </c>
    </row>
    <row r="278" spans="5:6" x14ac:dyDescent="0.25">
      <c r="E278" s="497" t="s">
        <v>371</v>
      </c>
      <c r="F278" s="497" t="s">
        <v>64</v>
      </c>
    </row>
    <row r="279" spans="5:6" x14ac:dyDescent="0.25">
      <c r="E279" s="497" t="s">
        <v>372</v>
      </c>
      <c r="F279" s="497" t="s">
        <v>38</v>
      </c>
    </row>
    <row r="280" spans="5:6" x14ac:dyDescent="0.25">
      <c r="E280" s="497" t="s">
        <v>373</v>
      </c>
      <c r="F280" s="497" t="s">
        <v>49</v>
      </c>
    </row>
    <row r="281" spans="5:6" x14ac:dyDescent="0.25">
      <c r="E281" s="497" t="s">
        <v>374</v>
      </c>
      <c r="F281" s="497" t="s">
        <v>40</v>
      </c>
    </row>
    <row r="282" spans="5:6" x14ac:dyDescent="0.25">
      <c r="E282" s="497" t="s">
        <v>375</v>
      </c>
      <c r="F282" s="497" t="s">
        <v>38</v>
      </c>
    </row>
    <row r="283" spans="5:6" x14ac:dyDescent="0.25">
      <c r="E283" s="497" t="s">
        <v>376</v>
      </c>
      <c r="F283" s="497" t="s">
        <v>64</v>
      </c>
    </row>
    <row r="284" spans="5:6" x14ac:dyDescent="0.25">
      <c r="E284" s="497" t="s">
        <v>377</v>
      </c>
      <c r="F284" s="497" t="s">
        <v>58</v>
      </c>
    </row>
    <row r="285" spans="5:6" x14ac:dyDescent="0.25">
      <c r="E285" s="497" t="s">
        <v>378</v>
      </c>
      <c r="F285" s="497" t="s">
        <v>38</v>
      </c>
    </row>
    <row r="286" spans="5:6" x14ac:dyDescent="0.25">
      <c r="E286" s="497" t="s">
        <v>379</v>
      </c>
      <c r="F286" s="497" t="s">
        <v>38</v>
      </c>
    </row>
    <row r="287" spans="5:6" x14ac:dyDescent="0.25">
      <c r="E287" s="497" t="s">
        <v>380</v>
      </c>
      <c r="F287" s="497" t="s">
        <v>40</v>
      </c>
    </row>
    <row r="288" spans="5:6" x14ac:dyDescent="0.25">
      <c r="E288" s="497" t="s">
        <v>381</v>
      </c>
      <c r="F288" s="497" t="s">
        <v>64</v>
      </c>
    </row>
    <row r="289" spans="5:6" x14ac:dyDescent="0.25">
      <c r="E289" s="497" t="s">
        <v>382</v>
      </c>
      <c r="F289" s="497" t="s">
        <v>58</v>
      </c>
    </row>
    <row r="290" spans="5:6" x14ac:dyDescent="0.25">
      <c r="E290" s="497" t="s">
        <v>383</v>
      </c>
      <c r="F290" s="497" t="s">
        <v>40</v>
      </c>
    </row>
    <row r="291" spans="5:6" x14ac:dyDescent="0.25">
      <c r="E291" s="497" t="s">
        <v>384</v>
      </c>
      <c r="F291" s="497" t="s">
        <v>38</v>
      </c>
    </row>
    <row r="292" spans="5:6" x14ac:dyDescent="0.25">
      <c r="E292" s="497" t="s">
        <v>385</v>
      </c>
      <c r="F292" s="497" t="s">
        <v>58</v>
      </c>
    </row>
    <row r="293" spans="5:6" x14ac:dyDescent="0.25">
      <c r="E293" s="497" t="s">
        <v>386</v>
      </c>
      <c r="F293" s="497" t="s">
        <v>40</v>
      </c>
    </row>
    <row r="294" spans="5:6" x14ac:dyDescent="0.25">
      <c r="E294" s="497" t="s">
        <v>387</v>
      </c>
      <c r="F294" s="497" t="s">
        <v>49</v>
      </c>
    </row>
    <row r="295" spans="5:6" x14ac:dyDescent="0.25">
      <c r="E295" s="497" t="s">
        <v>388</v>
      </c>
      <c r="F295" s="497" t="s">
        <v>64</v>
      </c>
    </row>
    <row r="296" spans="5:6" x14ac:dyDescent="0.25">
      <c r="E296" s="497" t="s">
        <v>389</v>
      </c>
      <c r="F296" s="497" t="s">
        <v>64</v>
      </c>
    </row>
    <row r="297" spans="5:6" x14ac:dyDescent="0.25">
      <c r="E297" s="497" t="s">
        <v>390</v>
      </c>
      <c r="F297" s="497" t="s">
        <v>58</v>
      </c>
    </row>
    <row r="298" spans="5:6" x14ac:dyDescent="0.25">
      <c r="E298" s="497" t="s">
        <v>391</v>
      </c>
      <c r="F298" s="497" t="s">
        <v>58</v>
      </c>
    </row>
    <row r="299" spans="5:6" x14ac:dyDescent="0.25">
      <c r="E299" s="497" t="s">
        <v>392</v>
      </c>
      <c r="F299" s="497" t="s">
        <v>49</v>
      </c>
    </row>
    <row r="300" spans="5:6" x14ac:dyDescent="0.25">
      <c r="E300" s="497" t="s">
        <v>393</v>
      </c>
      <c r="F300" s="497" t="s">
        <v>64</v>
      </c>
    </row>
    <row r="301" spans="5:6" x14ac:dyDescent="0.25">
      <c r="E301" s="497" t="s">
        <v>394</v>
      </c>
      <c r="F301" s="497" t="s">
        <v>40</v>
      </c>
    </row>
    <row r="302" spans="5:6" x14ac:dyDescent="0.25">
      <c r="E302" s="497" t="s">
        <v>395</v>
      </c>
      <c r="F302" s="497" t="s">
        <v>58</v>
      </c>
    </row>
    <row r="303" spans="5:6" x14ac:dyDescent="0.25">
      <c r="E303" s="497" t="s">
        <v>396</v>
      </c>
      <c r="F303" s="497" t="s">
        <v>64</v>
      </c>
    </row>
    <row r="304" spans="5:6" x14ac:dyDescent="0.25">
      <c r="E304" s="497" t="s">
        <v>397</v>
      </c>
      <c r="F304" s="497" t="s">
        <v>38</v>
      </c>
    </row>
    <row r="305" spans="5:6" x14ac:dyDescent="0.25">
      <c r="E305" s="497" t="s">
        <v>398</v>
      </c>
      <c r="F305" s="497" t="s">
        <v>64</v>
      </c>
    </row>
    <row r="306" spans="5:6" x14ac:dyDescent="0.25">
      <c r="E306" s="497" t="s">
        <v>399</v>
      </c>
      <c r="F306" s="497" t="s">
        <v>38</v>
      </c>
    </row>
    <row r="307" spans="5:6" x14ac:dyDescent="0.25">
      <c r="E307" s="497" t="s">
        <v>400</v>
      </c>
      <c r="F307" s="497" t="s">
        <v>64</v>
      </c>
    </row>
    <row r="308" spans="5:6" x14ac:dyDescent="0.25">
      <c r="E308" s="497" t="s">
        <v>401</v>
      </c>
      <c r="F308" s="497" t="s">
        <v>40</v>
      </c>
    </row>
    <row r="309" spans="5:6" x14ac:dyDescent="0.25">
      <c r="E309" s="497" t="s">
        <v>402</v>
      </c>
      <c r="F309" s="497" t="s">
        <v>38</v>
      </c>
    </row>
    <row r="310" spans="5:6" x14ac:dyDescent="0.25">
      <c r="E310" s="497" t="s">
        <v>403</v>
      </c>
      <c r="F310" s="497" t="s">
        <v>40</v>
      </c>
    </row>
    <row r="311" spans="5:6" x14ac:dyDescent="0.25">
      <c r="E311" s="497" t="s">
        <v>404</v>
      </c>
      <c r="F311" s="497" t="s">
        <v>64</v>
      </c>
    </row>
    <row r="312" spans="5:6" x14ac:dyDescent="0.25">
      <c r="E312" s="497" t="s">
        <v>405</v>
      </c>
      <c r="F312" s="497" t="s">
        <v>40</v>
      </c>
    </row>
    <row r="313" spans="5:6" x14ac:dyDescent="0.25">
      <c r="E313" s="497" t="s">
        <v>406</v>
      </c>
      <c r="F313" s="497" t="s">
        <v>49</v>
      </c>
    </row>
    <row r="314" spans="5:6" x14ac:dyDescent="0.25">
      <c r="E314" s="497" t="s">
        <v>407</v>
      </c>
      <c r="F314" s="497" t="s">
        <v>49</v>
      </c>
    </row>
    <row r="315" spans="5:6" x14ac:dyDescent="0.25">
      <c r="E315" s="497" t="s">
        <v>408</v>
      </c>
      <c r="F315" s="497" t="s">
        <v>40</v>
      </c>
    </row>
    <row r="316" spans="5:6" x14ac:dyDescent="0.25">
      <c r="E316" s="497" t="s">
        <v>409</v>
      </c>
      <c r="F316" s="497" t="s">
        <v>58</v>
      </c>
    </row>
    <row r="317" spans="5:6" x14ac:dyDescent="0.25">
      <c r="E317" s="497" t="s">
        <v>410</v>
      </c>
      <c r="F317" s="497" t="s">
        <v>58</v>
      </c>
    </row>
    <row r="318" spans="5:6" x14ac:dyDescent="0.25">
      <c r="E318" s="497" t="s">
        <v>411</v>
      </c>
      <c r="F318" s="497" t="s">
        <v>40</v>
      </c>
    </row>
    <row r="319" spans="5:6" x14ac:dyDescent="0.25">
      <c r="E319" s="497" t="s">
        <v>412</v>
      </c>
      <c r="F319" s="497" t="s">
        <v>40</v>
      </c>
    </row>
    <row r="320" spans="5:6" x14ac:dyDescent="0.25">
      <c r="E320" s="497" t="s">
        <v>413</v>
      </c>
      <c r="F320" s="497" t="s">
        <v>64</v>
      </c>
    </row>
    <row r="321" spans="5:6" x14ac:dyDescent="0.25">
      <c r="E321" s="497" t="s">
        <v>414</v>
      </c>
      <c r="F321" s="497" t="s">
        <v>40</v>
      </c>
    </row>
    <row r="322" spans="5:6" x14ac:dyDescent="0.25">
      <c r="E322" s="497" t="s">
        <v>415</v>
      </c>
      <c r="F322" s="497" t="s">
        <v>64</v>
      </c>
    </row>
    <row r="323" spans="5:6" x14ac:dyDescent="0.25">
      <c r="E323" s="497" t="s">
        <v>416</v>
      </c>
      <c r="F323" s="497" t="s">
        <v>40</v>
      </c>
    </row>
    <row r="324" spans="5:6" x14ac:dyDescent="0.25">
      <c r="E324" s="497" t="s">
        <v>417</v>
      </c>
      <c r="F324" s="497" t="s">
        <v>40</v>
      </c>
    </row>
    <row r="325" spans="5:6" x14ac:dyDescent="0.25">
      <c r="E325" s="497" t="s">
        <v>418</v>
      </c>
      <c r="F325" s="497" t="s">
        <v>58</v>
      </c>
    </row>
    <row r="326" spans="5:6" x14ac:dyDescent="0.25">
      <c r="E326" s="497" t="s">
        <v>419</v>
      </c>
      <c r="F326" s="497" t="s">
        <v>40</v>
      </c>
    </row>
    <row r="327" spans="5:6" x14ac:dyDescent="0.25">
      <c r="E327" s="497" t="s">
        <v>420</v>
      </c>
      <c r="F327" s="497" t="s">
        <v>64</v>
      </c>
    </row>
    <row r="328" spans="5:6" x14ac:dyDescent="0.25">
      <c r="E328" s="497" t="s">
        <v>421</v>
      </c>
      <c r="F328" s="497" t="s">
        <v>58</v>
      </c>
    </row>
    <row r="329" spans="5:6" x14ac:dyDescent="0.25">
      <c r="E329" s="497" t="s">
        <v>422</v>
      </c>
      <c r="F329" s="497" t="s">
        <v>58</v>
      </c>
    </row>
    <row r="330" spans="5:6" x14ac:dyDescent="0.25">
      <c r="E330" s="497" t="s">
        <v>423</v>
      </c>
      <c r="F330" s="497" t="s">
        <v>64</v>
      </c>
    </row>
    <row r="331" spans="5:6" x14ac:dyDescent="0.25">
      <c r="E331" s="497" t="s">
        <v>424</v>
      </c>
      <c r="F331" s="497" t="s">
        <v>64</v>
      </c>
    </row>
    <row r="332" spans="5:6" x14ac:dyDescent="0.25">
      <c r="E332" s="497" t="s">
        <v>425</v>
      </c>
      <c r="F332" s="497" t="s">
        <v>38</v>
      </c>
    </row>
    <row r="333" spans="5:6" x14ac:dyDescent="0.25">
      <c r="E333" s="497" t="s">
        <v>426</v>
      </c>
      <c r="F333" s="497" t="s">
        <v>40</v>
      </c>
    </row>
    <row r="334" spans="5:6" x14ac:dyDescent="0.25">
      <c r="E334" s="497" t="s">
        <v>427</v>
      </c>
      <c r="F334" s="497" t="s">
        <v>58</v>
      </c>
    </row>
    <row r="335" spans="5:6" x14ac:dyDescent="0.25">
      <c r="E335" s="497" t="s">
        <v>428</v>
      </c>
      <c r="F335" s="497" t="s">
        <v>64</v>
      </c>
    </row>
    <row r="336" spans="5:6" x14ac:dyDescent="0.25">
      <c r="E336" s="497" t="s">
        <v>429</v>
      </c>
      <c r="F336" s="497" t="s">
        <v>64</v>
      </c>
    </row>
    <row r="337" spans="5:6" x14ac:dyDescent="0.25">
      <c r="E337" s="497" t="s">
        <v>430</v>
      </c>
      <c r="F337" s="497" t="s">
        <v>40</v>
      </c>
    </row>
    <row r="338" spans="5:6" x14ac:dyDescent="0.25">
      <c r="E338" s="497" t="s">
        <v>431</v>
      </c>
      <c r="F338" s="497" t="s">
        <v>40</v>
      </c>
    </row>
    <row r="339" spans="5:6" x14ac:dyDescent="0.25">
      <c r="E339" s="497" t="s">
        <v>432</v>
      </c>
      <c r="F339" s="497" t="s">
        <v>58</v>
      </c>
    </row>
    <row r="340" spans="5:6" x14ac:dyDescent="0.25">
      <c r="E340" s="497" t="s">
        <v>433</v>
      </c>
      <c r="F340" s="497" t="s">
        <v>40</v>
      </c>
    </row>
    <row r="341" spans="5:6" x14ac:dyDescent="0.25">
      <c r="E341" s="497" t="s">
        <v>434</v>
      </c>
      <c r="F341" s="497" t="s">
        <v>64</v>
      </c>
    </row>
    <row r="342" spans="5:6" x14ac:dyDescent="0.25">
      <c r="E342" s="497" t="s">
        <v>435</v>
      </c>
      <c r="F342" s="497" t="s">
        <v>40</v>
      </c>
    </row>
    <row r="343" spans="5:6" x14ac:dyDescent="0.25">
      <c r="E343" s="497" t="s">
        <v>436</v>
      </c>
      <c r="F343" s="497" t="s">
        <v>58</v>
      </c>
    </row>
    <row r="344" spans="5:6" x14ac:dyDescent="0.25">
      <c r="E344" s="497" t="s">
        <v>437</v>
      </c>
      <c r="F344" s="497" t="s">
        <v>40</v>
      </c>
    </row>
    <row r="345" spans="5:6" x14ac:dyDescent="0.25">
      <c r="E345" s="497" t="s">
        <v>438</v>
      </c>
      <c r="F345" s="497" t="s">
        <v>64</v>
      </c>
    </row>
    <row r="346" spans="5:6" x14ac:dyDescent="0.25">
      <c r="E346" s="497" t="s">
        <v>439</v>
      </c>
      <c r="F346" s="497" t="s">
        <v>58</v>
      </c>
    </row>
    <row r="347" spans="5:6" x14ac:dyDescent="0.25">
      <c r="E347" s="497" t="s">
        <v>440</v>
      </c>
      <c r="F347" s="497" t="s">
        <v>40</v>
      </c>
    </row>
    <row r="348" spans="5:6" x14ac:dyDescent="0.25">
      <c r="E348" s="497" t="s">
        <v>441</v>
      </c>
      <c r="F348" s="497" t="s">
        <v>38</v>
      </c>
    </row>
    <row r="349" spans="5:6" x14ac:dyDescent="0.25">
      <c r="E349" s="497" t="s">
        <v>442</v>
      </c>
      <c r="F349" s="497" t="s">
        <v>58</v>
      </c>
    </row>
    <row r="350" spans="5:6" x14ac:dyDescent="0.25">
      <c r="E350" s="497" t="s">
        <v>443</v>
      </c>
      <c r="F350" s="497" t="s">
        <v>58</v>
      </c>
    </row>
    <row r="351" spans="5:6" x14ac:dyDescent="0.25">
      <c r="E351" s="497" t="s">
        <v>444</v>
      </c>
      <c r="F351" s="497" t="s">
        <v>64</v>
      </c>
    </row>
    <row r="352" spans="5:6" x14ac:dyDescent="0.25">
      <c r="E352" s="497" t="s">
        <v>445</v>
      </c>
      <c r="F352" s="497" t="s">
        <v>40</v>
      </c>
    </row>
    <row r="353" spans="5:6" x14ac:dyDescent="0.25">
      <c r="E353" s="497" t="s">
        <v>446</v>
      </c>
      <c r="F353" s="497" t="s">
        <v>64</v>
      </c>
    </row>
    <row r="354" spans="5:6" x14ac:dyDescent="0.25">
      <c r="E354" s="497" t="s">
        <v>447</v>
      </c>
      <c r="F354" s="497" t="s">
        <v>49</v>
      </c>
    </row>
    <row r="355" spans="5:6" x14ac:dyDescent="0.25">
      <c r="E355" s="497" t="s">
        <v>448</v>
      </c>
      <c r="F355" s="497" t="s">
        <v>58</v>
      </c>
    </row>
    <row r="356" spans="5:6" x14ac:dyDescent="0.25">
      <c r="E356" s="497" t="s">
        <v>449</v>
      </c>
      <c r="F356" s="497" t="s">
        <v>38</v>
      </c>
    </row>
    <row r="357" spans="5:6" x14ac:dyDescent="0.25">
      <c r="E357" s="497" t="s">
        <v>450</v>
      </c>
      <c r="F357" s="497" t="s">
        <v>64</v>
      </c>
    </row>
    <row r="358" spans="5:6" x14ac:dyDescent="0.25">
      <c r="E358" s="497" t="s">
        <v>451</v>
      </c>
      <c r="F358" s="497" t="s">
        <v>64</v>
      </c>
    </row>
    <row r="359" spans="5:6" x14ac:dyDescent="0.25">
      <c r="E359" s="497" t="s">
        <v>452</v>
      </c>
      <c r="F359" s="497" t="s">
        <v>40</v>
      </c>
    </row>
    <row r="360" spans="5:6" x14ac:dyDescent="0.25">
      <c r="E360" s="497" t="s">
        <v>453</v>
      </c>
      <c r="F360" s="497" t="s">
        <v>58</v>
      </c>
    </row>
    <row r="361" spans="5:6" x14ac:dyDescent="0.25">
      <c r="E361" s="497" t="s">
        <v>454</v>
      </c>
      <c r="F361" s="497" t="s">
        <v>40</v>
      </c>
    </row>
    <row r="362" spans="5:6" x14ac:dyDescent="0.25">
      <c r="E362" s="497" t="s">
        <v>455</v>
      </c>
      <c r="F362" s="497" t="s">
        <v>58</v>
      </c>
    </row>
    <row r="363" spans="5:6" x14ac:dyDescent="0.25">
      <c r="E363" s="497" t="s">
        <v>456</v>
      </c>
      <c r="F363" s="497" t="s">
        <v>38</v>
      </c>
    </row>
    <row r="364" spans="5:6" x14ac:dyDescent="0.25">
      <c r="E364" s="497" t="s">
        <v>457</v>
      </c>
      <c r="F364" s="497" t="s">
        <v>58</v>
      </c>
    </row>
    <row r="365" spans="5:6" x14ac:dyDescent="0.25">
      <c r="E365" s="497" t="s">
        <v>458</v>
      </c>
      <c r="F365" s="497" t="s">
        <v>64</v>
      </c>
    </row>
    <row r="366" spans="5:6" x14ac:dyDescent="0.25">
      <c r="E366" s="497" t="s">
        <v>459</v>
      </c>
      <c r="F366" s="497" t="s">
        <v>38</v>
      </c>
    </row>
    <row r="367" spans="5:6" x14ac:dyDescent="0.25">
      <c r="E367" s="497" t="s">
        <v>460</v>
      </c>
      <c r="F367" s="497" t="s">
        <v>64</v>
      </c>
    </row>
    <row r="368" spans="5:6" x14ac:dyDescent="0.25">
      <c r="E368" s="497" t="s">
        <v>461</v>
      </c>
      <c r="F368" s="497" t="s">
        <v>40</v>
      </c>
    </row>
    <row r="369" spans="5:6" x14ac:dyDescent="0.25">
      <c r="E369" s="497" t="s">
        <v>462</v>
      </c>
      <c r="F369" s="497" t="s">
        <v>40</v>
      </c>
    </row>
    <row r="370" spans="5:6" x14ac:dyDescent="0.25">
      <c r="E370" s="497" t="s">
        <v>463</v>
      </c>
      <c r="F370" s="497" t="s">
        <v>40</v>
      </c>
    </row>
    <row r="371" spans="5:6" x14ac:dyDescent="0.25">
      <c r="E371" s="497" t="s">
        <v>464</v>
      </c>
      <c r="F371" s="497" t="s">
        <v>64</v>
      </c>
    </row>
    <row r="372" spans="5:6" x14ac:dyDescent="0.25">
      <c r="E372" s="497" t="s">
        <v>465</v>
      </c>
      <c r="F372" s="497" t="s">
        <v>40</v>
      </c>
    </row>
    <row r="373" spans="5:6" x14ac:dyDescent="0.25">
      <c r="E373" s="497" t="s">
        <v>466</v>
      </c>
      <c r="F373" s="497" t="s">
        <v>58</v>
      </c>
    </row>
    <row r="374" spans="5:6" x14ac:dyDescent="0.25">
      <c r="E374" s="497" t="s">
        <v>467</v>
      </c>
      <c r="F374" s="497" t="s">
        <v>58</v>
      </c>
    </row>
    <row r="375" spans="5:6" x14ac:dyDescent="0.25">
      <c r="E375" s="497" t="s">
        <v>468</v>
      </c>
      <c r="F375" s="497" t="s">
        <v>58</v>
      </c>
    </row>
    <row r="376" spans="5:6" x14ac:dyDescent="0.25">
      <c r="E376" s="497" t="s">
        <v>469</v>
      </c>
      <c r="F376" s="497" t="s">
        <v>38</v>
      </c>
    </row>
    <row r="377" spans="5:6" x14ac:dyDescent="0.25">
      <c r="E377" s="497" t="s">
        <v>470</v>
      </c>
      <c r="F377" s="497" t="s">
        <v>38</v>
      </c>
    </row>
    <row r="378" spans="5:6" x14ac:dyDescent="0.25">
      <c r="E378" s="497" t="s">
        <v>471</v>
      </c>
      <c r="F378" s="497" t="s">
        <v>58</v>
      </c>
    </row>
    <row r="379" spans="5:6" x14ac:dyDescent="0.25">
      <c r="E379" s="497" t="s">
        <v>472</v>
      </c>
      <c r="F379" s="497" t="s">
        <v>58</v>
      </c>
    </row>
    <row r="380" spans="5:6" x14ac:dyDescent="0.25">
      <c r="E380" s="497" t="s">
        <v>473</v>
      </c>
      <c r="F380" s="497" t="s">
        <v>64</v>
      </c>
    </row>
    <row r="381" spans="5:6" x14ac:dyDescent="0.25">
      <c r="E381" s="497" t="s">
        <v>474</v>
      </c>
      <c r="F381" s="497" t="s">
        <v>38</v>
      </c>
    </row>
    <row r="382" spans="5:6" x14ac:dyDescent="0.25">
      <c r="E382" s="497" t="s">
        <v>475</v>
      </c>
      <c r="F382" s="497" t="s">
        <v>49</v>
      </c>
    </row>
    <row r="383" spans="5:6" x14ac:dyDescent="0.25">
      <c r="E383" s="497" t="s">
        <v>476</v>
      </c>
      <c r="F383" s="497" t="s">
        <v>64</v>
      </c>
    </row>
    <row r="384" spans="5:6" x14ac:dyDescent="0.25">
      <c r="E384" s="497" t="s">
        <v>477</v>
      </c>
      <c r="F384" s="497" t="s">
        <v>40</v>
      </c>
    </row>
    <row r="385" spans="5:6" x14ac:dyDescent="0.25">
      <c r="E385" s="497" t="s">
        <v>478</v>
      </c>
      <c r="F385" s="497" t="s">
        <v>64</v>
      </c>
    </row>
    <row r="386" spans="5:6" x14ac:dyDescent="0.25">
      <c r="E386" s="497" t="s">
        <v>479</v>
      </c>
      <c r="F386" s="497" t="s">
        <v>49</v>
      </c>
    </row>
    <row r="387" spans="5:6" x14ac:dyDescent="0.25">
      <c r="E387" s="497" t="s">
        <v>480</v>
      </c>
      <c r="F387" s="497" t="s">
        <v>58</v>
      </c>
    </row>
    <row r="388" spans="5:6" x14ac:dyDescent="0.25">
      <c r="E388" s="497" t="s">
        <v>481</v>
      </c>
      <c r="F388" s="497" t="s">
        <v>64</v>
      </c>
    </row>
    <row r="389" spans="5:6" x14ac:dyDescent="0.25">
      <c r="E389" s="497" t="s">
        <v>482</v>
      </c>
      <c r="F389" s="497" t="s">
        <v>38</v>
      </c>
    </row>
    <row r="390" spans="5:6" x14ac:dyDescent="0.25">
      <c r="E390" s="497" t="s">
        <v>483</v>
      </c>
      <c r="F390" s="497" t="s">
        <v>58</v>
      </c>
    </row>
    <row r="391" spans="5:6" x14ac:dyDescent="0.25">
      <c r="E391" s="497" t="s">
        <v>484</v>
      </c>
      <c r="F391" s="497" t="s">
        <v>58</v>
      </c>
    </row>
    <row r="392" spans="5:6" x14ac:dyDescent="0.25">
      <c r="E392" s="497" t="s">
        <v>485</v>
      </c>
      <c r="F392" s="497" t="s">
        <v>38</v>
      </c>
    </row>
    <row r="393" spans="5:6" x14ac:dyDescent="0.25">
      <c r="E393" s="497" t="s">
        <v>486</v>
      </c>
      <c r="F393" s="497" t="s">
        <v>58</v>
      </c>
    </row>
    <row r="394" spans="5:6" x14ac:dyDescent="0.25">
      <c r="E394" s="497" t="s">
        <v>487</v>
      </c>
      <c r="F394" s="497" t="s">
        <v>40</v>
      </c>
    </row>
    <row r="395" spans="5:6" x14ac:dyDescent="0.25">
      <c r="E395" s="497" t="s">
        <v>488</v>
      </c>
      <c r="F395" s="497" t="s">
        <v>38</v>
      </c>
    </row>
    <row r="396" spans="5:6" x14ac:dyDescent="0.25">
      <c r="E396" s="497" t="s">
        <v>489</v>
      </c>
      <c r="F396" s="497" t="s">
        <v>64</v>
      </c>
    </row>
    <row r="397" spans="5:6" x14ac:dyDescent="0.25">
      <c r="E397" s="497" t="s">
        <v>490</v>
      </c>
      <c r="F397" s="497" t="s">
        <v>64</v>
      </c>
    </row>
    <row r="398" spans="5:6" x14ac:dyDescent="0.25">
      <c r="E398" s="497" t="s">
        <v>491</v>
      </c>
      <c r="F398" s="497" t="s">
        <v>64</v>
      </c>
    </row>
    <row r="399" spans="5:6" x14ac:dyDescent="0.25">
      <c r="E399" s="497" t="s">
        <v>492</v>
      </c>
      <c r="F399" s="497" t="s">
        <v>64</v>
      </c>
    </row>
    <row r="400" spans="5:6" x14ac:dyDescent="0.25">
      <c r="E400" s="497" t="s">
        <v>493</v>
      </c>
      <c r="F400" s="497" t="s">
        <v>40</v>
      </c>
    </row>
    <row r="401" spans="5:6" x14ac:dyDescent="0.25">
      <c r="E401" s="497" t="s">
        <v>494</v>
      </c>
      <c r="F401" s="497" t="s">
        <v>58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V8:AG8 AB9:AG9 BC34:IT34 BC36:IT36 AI1:IT33 AI35:IT35 AI34:BA34 AI37:IT65536 AI36:BA36 V5:W6 Y4:AG6 V13:AG13 K15:AG16 R14:AG14 K14:P14 B1:AG3 B12:AG12 B8:T8 B9:Z9 B10:AF10 B7:K7 B5:T6 B4:W4 B14:H14 B13:T13 B15:I16 B17:AG65536 A1:A65536 M7:AG7 B11:J11 M11:AG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2"/>
  <dimension ref="A1:AH108"/>
  <sheetViews>
    <sheetView zoomScale="115" zoomScaleNormal="115" workbookViewId="0">
      <selection activeCell="AP8" sqref="AP8"/>
    </sheetView>
  </sheetViews>
  <sheetFormatPr defaultColWidth="9.140625" defaultRowHeight="15" customHeight="1" x14ac:dyDescent="0.25"/>
  <cols>
    <col min="1" max="1" width="11.140625" style="52" bestFit="1" customWidth="1"/>
    <col min="2" max="2" width="3.85546875" style="72" customWidth="1"/>
    <col min="3" max="33" width="3.7109375" style="52" customWidth="1"/>
    <col min="34" max="34" width="5.7109375" style="52" customWidth="1"/>
    <col min="35" max="16384" width="9.140625" style="52"/>
  </cols>
  <sheetData>
    <row r="1" spans="1:34" ht="15.75" thickBot="1" x14ac:dyDescent="0.3">
      <c r="A1" s="511" t="s">
        <v>5879</v>
      </c>
      <c r="B1" s="52"/>
    </row>
    <row r="3" spans="1:34" ht="15" customHeight="1" x14ac:dyDescent="0.2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/>
    </row>
    <row r="4" spans="1:34" ht="15" customHeight="1" x14ac:dyDescent="0.25">
      <c r="B4" s="53"/>
      <c r="C4" s="54" t="s">
        <v>567</v>
      </c>
      <c r="AH4" s="55"/>
    </row>
    <row r="5" spans="1:34" ht="15" customHeight="1" x14ac:dyDescent="0.25">
      <c r="B5" s="53"/>
      <c r="D5" s="52" t="s">
        <v>568</v>
      </c>
      <c r="E5" s="54" t="s">
        <v>569</v>
      </c>
      <c r="AH5" s="55"/>
    </row>
    <row r="6" spans="1:34" ht="15" customHeight="1" x14ac:dyDescent="0.25">
      <c r="B6" s="53"/>
      <c r="AH6" s="55"/>
    </row>
    <row r="7" spans="1:34" ht="15" customHeight="1" x14ac:dyDescent="0.25">
      <c r="B7" s="53"/>
      <c r="D7" s="563" t="s">
        <v>570</v>
      </c>
      <c r="E7" s="56" t="s">
        <v>571</v>
      </c>
      <c r="F7" s="57"/>
      <c r="G7" s="57"/>
      <c r="H7" s="57"/>
      <c r="I7" s="58"/>
      <c r="J7" s="59" t="s">
        <v>572</v>
      </c>
      <c r="K7" s="60" t="s">
        <v>573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55"/>
    </row>
    <row r="8" spans="1:34" ht="15" customHeight="1" x14ac:dyDescent="0.25">
      <c r="B8" s="53"/>
      <c r="J8" s="62" t="s">
        <v>574</v>
      </c>
      <c r="K8" s="63" t="s">
        <v>575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55"/>
    </row>
    <row r="9" spans="1:34" ht="15" customHeight="1" x14ac:dyDescent="0.25">
      <c r="B9" s="53"/>
      <c r="J9" s="62" t="s">
        <v>576</v>
      </c>
      <c r="K9" s="63" t="s">
        <v>577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55"/>
    </row>
    <row r="10" spans="1:34" ht="15" customHeight="1" x14ac:dyDescent="0.25">
      <c r="B10" s="53"/>
      <c r="J10" s="62" t="s">
        <v>578</v>
      </c>
      <c r="K10" s="63" t="s">
        <v>579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55"/>
    </row>
    <row r="11" spans="1:34" ht="15" customHeight="1" x14ac:dyDescent="0.25">
      <c r="B11" s="53"/>
      <c r="J11" s="65" t="s">
        <v>580</v>
      </c>
      <c r="K11" s="66" t="s">
        <v>581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  <c r="AH11" s="55"/>
    </row>
    <row r="12" spans="1:34" ht="15" customHeight="1" x14ac:dyDescent="0.25">
      <c r="B12" s="53"/>
      <c r="K12" s="54"/>
      <c r="AH12" s="55"/>
    </row>
    <row r="13" spans="1:34" ht="15" customHeight="1" x14ac:dyDescent="0.25">
      <c r="B13" s="53"/>
      <c r="D13" s="52" t="s">
        <v>582</v>
      </c>
      <c r="E13" s="52" t="s">
        <v>583</v>
      </c>
      <c r="AH13" s="55"/>
    </row>
    <row r="14" spans="1:34" ht="15" customHeight="1" x14ac:dyDescent="0.25">
      <c r="B14" s="53"/>
      <c r="E14" s="52" t="s">
        <v>584</v>
      </c>
      <c r="F14" s="52" t="s">
        <v>585</v>
      </c>
      <c r="AH14" s="55"/>
    </row>
    <row r="15" spans="1:34" ht="15" customHeight="1" x14ac:dyDescent="0.25">
      <c r="B15" s="53"/>
      <c r="E15" s="52" t="s">
        <v>586</v>
      </c>
      <c r="F15" s="52" t="s">
        <v>587</v>
      </c>
      <c r="AH15" s="55"/>
    </row>
    <row r="16" spans="1:34" ht="15" customHeight="1" x14ac:dyDescent="0.25">
      <c r="B16" s="53"/>
      <c r="D16" s="52" t="s">
        <v>588</v>
      </c>
      <c r="E16" s="52" t="s">
        <v>589</v>
      </c>
      <c r="AH16" s="55"/>
    </row>
    <row r="17" spans="2:34" ht="15" customHeight="1" x14ac:dyDescent="0.25">
      <c r="B17" s="53"/>
      <c r="E17" s="52" t="s">
        <v>590</v>
      </c>
      <c r="F17" s="52" t="s">
        <v>591</v>
      </c>
      <c r="AH17" s="55"/>
    </row>
    <row r="18" spans="2:34" ht="15" customHeight="1" x14ac:dyDescent="0.25">
      <c r="B18" s="53"/>
      <c r="D18" s="52" t="s">
        <v>592</v>
      </c>
      <c r="E18" s="52" t="s">
        <v>593</v>
      </c>
      <c r="AH18" s="55"/>
    </row>
    <row r="19" spans="2:34" ht="15" customHeight="1" x14ac:dyDescent="0.25">
      <c r="B19" s="53"/>
      <c r="E19" s="52" t="s">
        <v>594</v>
      </c>
      <c r="AH19" s="55"/>
    </row>
    <row r="20" spans="2:34" ht="15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1"/>
    </row>
    <row r="22" spans="2:34" ht="15" customHeight="1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1"/>
    </row>
    <row r="23" spans="2:34" ht="15" customHeight="1" x14ac:dyDescent="0.25">
      <c r="B23" s="73"/>
      <c r="C23" s="54" t="s">
        <v>595</v>
      </c>
      <c r="AH23" s="74"/>
    </row>
    <row r="24" spans="2:34" ht="15" customHeight="1" x14ac:dyDescent="0.25">
      <c r="B24" s="75"/>
      <c r="D24" s="52" t="s">
        <v>568</v>
      </c>
      <c r="E24" s="54" t="s">
        <v>596</v>
      </c>
      <c r="AH24" s="74"/>
    </row>
    <row r="25" spans="2:34" ht="15" customHeight="1" x14ac:dyDescent="0.25">
      <c r="B25" s="75"/>
      <c r="D25" s="52" t="s">
        <v>597</v>
      </c>
      <c r="E25" s="52" t="s">
        <v>598</v>
      </c>
      <c r="AH25" s="74"/>
    </row>
    <row r="26" spans="2:34" ht="15" customHeight="1" x14ac:dyDescent="0.25">
      <c r="B26" s="75"/>
      <c r="E26" s="52" t="s">
        <v>599</v>
      </c>
      <c r="F26" s="52" t="s">
        <v>600</v>
      </c>
      <c r="AH26" s="74"/>
    </row>
    <row r="27" spans="2:34" ht="15" customHeight="1" x14ac:dyDescent="0.25">
      <c r="B27" s="75"/>
      <c r="E27" s="415" t="s">
        <v>601</v>
      </c>
      <c r="F27" s="415" t="s">
        <v>602</v>
      </c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74"/>
    </row>
    <row r="28" spans="2:34" ht="15" customHeight="1" x14ac:dyDescent="0.25">
      <c r="B28" s="75"/>
      <c r="E28" s="415"/>
      <c r="F28" s="415" t="s">
        <v>603</v>
      </c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74"/>
    </row>
    <row r="29" spans="2:34" ht="15" customHeight="1" x14ac:dyDescent="0.25">
      <c r="B29" s="75"/>
      <c r="D29" s="52" t="s">
        <v>582</v>
      </c>
      <c r="E29" s="52" t="s">
        <v>604</v>
      </c>
      <c r="AH29" s="74"/>
    </row>
    <row r="30" spans="2:34" ht="15" customHeight="1" x14ac:dyDescent="0.25">
      <c r="B30" s="75"/>
      <c r="E30" s="52" t="s">
        <v>605</v>
      </c>
      <c r="F30" s="52" t="s">
        <v>606</v>
      </c>
      <c r="AH30" s="74"/>
    </row>
    <row r="31" spans="2:34" ht="15" customHeight="1" x14ac:dyDescent="0.25">
      <c r="B31" s="75"/>
      <c r="E31" s="52" t="s">
        <v>607</v>
      </c>
      <c r="F31" s="52" t="s">
        <v>608</v>
      </c>
      <c r="AH31" s="74"/>
    </row>
    <row r="32" spans="2:34" ht="39.75" customHeight="1" x14ac:dyDescent="0.25">
      <c r="B32" s="75"/>
      <c r="D32" s="76" t="s">
        <v>588</v>
      </c>
      <c r="E32" s="637" t="s">
        <v>609</v>
      </c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637"/>
      <c r="AA32" s="637"/>
      <c r="AB32" s="637"/>
      <c r="AC32" s="637"/>
      <c r="AH32" s="74"/>
    </row>
    <row r="33" spans="2:34" ht="36" customHeight="1" x14ac:dyDescent="0.25">
      <c r="B33" s="75"/>
      <c r="D33" s="76" t="s">
        <v>592</v>
      </c>
      <c r="E33" s="637" t="s">
        <v>610</v>
      </c>
      <c r="F33" s="637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637"/>
      <c r="X33" s="637"/>
      <c r="Y33" s="637"/>
      <c r="Z33" s="637"/>
      <c r="AA33" s="637"/>
      <c r="AB33" s="637"/>
      <c r="AC33" s="513"/>
      <c r="AH33" s="74"/>
    </row>
    <row r="34" spans="2:34" ht="15" customHeight="1" x14ac:dyDescent="0.25">
      <c r="B34" s="7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8"/>
    </row>
    <row r="36" spans="2:34" ht="15" customHeight="1" x14ac:dyDescent="0.25">
      <c r="B36" s="8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81"/>
    </row>
    <row r="37" spans="2:34" ht="15" customHeight="1" x14ac:dyDescent="0.25">
      <c r="B37" s="73"/>
      <c r="C37" s="54" t="s">
        <v>611</v>
      </c>
      <c r="AH37" s="74"/>
    </row>
    <row r="38" spans="2:34" x14ac:dyDescent="0.25">
      <c r="B38" s="73"/>
      <c r="D38" s="76" t="s">
        <v>568</v>
      </c>
      <c r="E38" s="639" t="s">
        <v>612</v>
      </c>
      <c r="F38" s="639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40"/>
    </row>
    <row r="39" spans="2:34" ht="34.5" customHeight="1" x14ac:dyDescent="0.25">
      <c r="B39" s="73"/>
      <c r="D39" s="76" t="s">
        <v>570</v>
      </c>
      <c r="E39" s="639" t="s">
        <v>613</v>
      </c>
      <c r="F39" s="639"/>
      <c r="G39" s="639"/>
      <c r="H39" s="639"/>
      <c r="I39" s="639"/>
      <c r="J39" s="639"/>
      <c r="K39" s="639"/>
      <c r="L39" s="639"/>
      <c r="M39" s="639"/>
      <c r="N39" s="639"/>
      <c r="O39" s="639"/>
      <c r="P39" s="639"/>
      <c r="Q39" s="639"/>
      <c r="R39" s="639"/>
      <c r="S39" s="639"/>
      <c r="T39" s="639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639"/>
      <c r="AG39" s="639"/>
      <c r="AH39" s="640"/>
    </row>
    <row r="40" spans="2:34" ht="32.25" customHeight="1" x14ac:dyDescent="0.25">
      <c r="B40" s="73"/>
      <c r="D40" s="76" t="s">
        <v>582</v>
      </c>
      <c r="E40" s="639" t="s">
        <v>614</v>
      </c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639"/>
      <c r="AG40" s="639"/>
      <c r="AH40" s="640"/>
    </row>
    <row r="41" spans="2:34" ht="15" customHeight="1" x14ac:dyDescent="0.25">
      <c r="B41" s="73"/>
      <c r="D41" s="76" t="s">
        <v>582</v>
      </c>
      <c r="E41" s="639" t="s">
        <v>615</v>
      </c>
      <c r="F41" s="639"/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639"/>
      <c r="AG41" s="639"/>
      <c r="AH41" s="640"/>
    </row>
    <row r="42" spans="2:34" ht="15" customHeight="1" x14ac:dyDescent="0.25">
      <c r="B42" s="73"/>
      <c r="D42" s="76" t="s">
        <v>588</v>
      </c>
      <c r="E42" s="639" t="s">
        <v>616</v>
      </c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40"/>
    </row>
    <row r="43" spans="2:34" ht="15" customHeight="1" x14ac:dyDescent="0.25">
      <c r="B43" s="8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8"/>
    </row>
    <row r="45" spans="2:34" ht="15" customHeight="1" x14ac:dyDescent="0.2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1"/>
    </row>
    <row r="46" spans="2:34" ht="15" customHeight="1" x14ac:dyDescent="0.25">
      <c r="B46" s="73"/>
      <c r="C46" s="54" t="s">
        <v>617</v>
      </c>
      <c r="AH46" s="74"/>
    </row>
    <row r="47" spans="2:34" ht="15" customHeight="1" x14ac:dyDescent="0.25">
      <c r="B47" s="75"/>
      <c r="D47" s="52" t="s">
        <v>618</v>
      </c>
      <c r="AH47" s="74"/>
    </row>
    <row r="48" spans="2:34" ht="15" customHeight="1" x14ac:dyDescent="0.25">
      <c r="B48" s="75"/>
      <c r="D48" s="52" t="s">
        <v>619</v>
      </c>
      <c r="AH48" s="74"/>
    </row>
    <row r="49" spans="2:34" ht="15" customHeight="1" x14ac:dyDescent="0.25">
      <c r="B49" s="75"/>
      <c r="D49" s="52" t="s">
        <v>568</v>
      </c>
      <c r="E49" s="52" t="s">
        <v>620</v>
      </c>
      <c r="AH49" s="74"/>
    </row>
    <row r="50" spans="2:34" ht="15" customHeight="1" x14ac:dyDescent="0.25">
      <c r="B50" s="75"/>
      <c r="E50" s="52" t="s">
        <v>621</v>
      </c>
      <c r="F50" s="52" t="s">
        <v>622</v>
      </c>
      <c r="AH50" s="74"/>
    </row>
    <row r="51" spans="2:34" ht="15" customHeight="1" x14ac:dyDescent="0.25">
      <c r="B51" s="75"/>
      <c r="E51" s="52" t="s">
        <v>623</v>
      </c>
      <c r="F51" s="52" t="s">
        <v>624</v>
      </c>
      <c r="AH51" s="74"/>
    </row>
    <row r="52" spans="2:34" ht="15" customHeight="1" x14ac:dyDescent="0.25">
      <c r="B52" s="75"/>
      <c r="D52" s="52" t="s">
        <v>570</v>
      </c>
      <c r="E52" s="52" t="s">
        <v>625</v>
      </c>
      <c r="AH52" s="74"/>
    </row>
    <row r="53" spans="2:34" ht="15" customHeight="1" x14ac:dyDescent="0.25">
      <c r="B53" s="75"/>
      <c r="E53" s="52" t="s">
        <v>572</v>
      </c>
      <c r="F53" s="52" t="s">
        <v>626</v>
      </c>
      <c r="AH53" s="74"/>
    </row>
    <row r="54" spans="2:34" ht="15" customHeight="1" x14ac:dyDescent="0.25">
      <c r="B54" s="75"/>
      <c r="E54" s="52" t="s">
        <v>574</v>
      </c>
      <c r="F54" s="52" t="s">
        <v>627</v>
      </c>
      <c r="AH54" s="74"/>
    </row>
    <row r="55" spans="2:34" ht="15" customHeight="1" x14ac:dyDescent="0.25">
      <c r="B55" s="75"/>
      <c r="E55" s="52" t="s">
        <v>576</v>
      </c>
      <c r="F55" s="52" t="s">
        <v>628</v>
      </c>
      <c r="AH55" s="74"/>
    </row>
    <row r="56" spans="2:34" ht="15" customHeight="1" x14ac:dyDescent="0.25">
      <c r="B56" s="75"/>
      <c r="D56" s="52" t="s">
        <v>582</v>
      </c>
      <c r="E56" s="52" t="s">
        <v>629</v>
      </c>
      <c r="AH56" s="74"/>
    </row>
    <row r="57" spans="2:34" ht="15" customHeight="1" x14ac:dyDescent="0.25">
      <c r="B57" s="75"/>
      <c r="E57" s="52" t="s">
        <v>584</v>
      </c>
      <c r="F57" s="52" t="s">
        <v>630</v>
      </c>
      <c r="AH57" s="74"/>
    </row>
    <row r="58" spans="2:34" ht="15" customHeight="1" x14ac:dyDescent="0.25">
      <c r="B58" s="75"/>
      <c r="E58" s="52" t="s">
        <v>586</v>
      </c>
      <c r="F58" s="52" t="s">
        <v>631</v>
      </c>
      <c r="AH58" s="74"/>
    </row>
    <row r="59" spans="2:34" ht="15" customHeight="1" x14ac:dyDescent="0.25">
      <c r="B59" s="75"/>
      <c r="E59" s="52" t="s">
        <v>632</v>
      </c>
      <c r="F59" s="52" t="s">
        <v>633</v>
      </c>
      <c r="AH59" s="74"/>
    </row>
    <row r="60" spans="2:34" ht="15" customHeight="1" x14ac:dyDescent="0.25">
      <c r="B60" s="75"/>
      <c r="E60" s="52" t="s">
        <v>634</v>
      </c>
      <c r="F60" s="52" t="s">
        <v>635</v>
      </c>
      <c r="AH60" s="74"/>
    </row>
    <row r="61" spans="2:34" ht="15" customHeight="1" x14ac:dyDescent="0.25">
      <c r="B61" s="75"/>
      <c r="D61" s="52" t="s">
        <v>588</v>
      </c>
      <c r="E61" s="52" t="s">
        <v>636</v>
      </c>
      <c r="AH61" s="74"/>
    </row>
    <row r="62" spans="2:34" ht="15" customHeight="1" x14ac:dyDescent="0.25">
      <c r="B62" s="75"/>
      <c r="E62" s="52" t="s">
        <v>590</v>
      </c>
      <c r="F62" s="52" t="s">
        <v>637</v>
      </c>
      <c r="AH62" s="74"/>
    </row>
    <row r="63" spans="2:34" ht="15" customHeight="1" x14ac:dyDescent="0.25">
      <c r="B63" s="75"/>
      <c r="E63" s="52" t="s">
        <v>638</v>
      </c>
      <c r="F63" s="52" t="s">
        <v>639</v>
      </c>
      <c r="AH63" s="74"/>
    </row>
    <row r="64" spans="2:34" ht="15" customHeight="1" x14ac:dyDescent="0.25">
      <c r="B64" s="77"/>
      <c r="C64" s="70"/>
      <c r="D64" s="70"/>
      <c r="E64" s="70" t="s">
        <v>640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8"/>
    </row>
    <row r="65" spans="2:34" ht="15" customHeight="1" x14ac:dyDescent="0.25">
      <c r="B65" s="54"/>
      <c r="AH65" s="79"/>
    </row>
    <row r="66" spans="2:34" ht="15" customHeight="1" x14ac:dyDescent="0.25">
      <c r="B66" s="8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81"/>
    </row>
    <row r="67" spans="2:34" ht="15" customHeight="1" x14ac:dyDescent="0.25">
      <c r="B67" s="75"/>
      <c r="C67" s="54" t="s">
        <v>641</v>
      </c>
      <c r="AH67" s="74"/>
    </row>
    <row r="68" spans="2:34" ht="15" customHeight="1" x14ac:dyDescent="0.25">
      <c r="B68" s="75"/>
      <c r="D68" s="52" t="s">
        <v>568</v>
      </c>
      <c r="E68" s="52" t="s">
        <v>642</v>
      </c>
      <c r="AH68" s="74"/>
    </row>
    <row r="69" spans="2:34" ht="15" customHeight="1" x14ac:dyDescent="0.25">
      <c r="B69" s="73"/>
      <c r="D69" s="52" t="s">
        <v>570</v>
      </c>
      <c r="E69" s="52" t="s">
        <v>643</v>
      </c>
      <c r="AH69" s="74"/>
    </row>
    <row r="70" spans="2:34" ht="15" customHeight="1" x14ac:dyDescent="0.25">
      <c r="B70" s="73"/>
      <c r="E70" s="638" t="s">
        <v>644</v>
      </c>
      <c r="F70" s="638"/>
      <c r="G70" s="638"/>
      <c r="H70" s="638"/>
      <c r="I70" s="638"/>
      <c r="J70" s="638"/>
      <c r="K70" s="638"/>
      <c r="L70" s="638"/>
      <c r="M70" s="52" t="s">
        <v>645</v>
      </c>
      <c r="AH70" s="74"/>
    </row>
    <row r="71" spans="2:34" ht="15" customHeight="1" x14ac:dyDescent="0.25">
      <c r="B71" s="73"/>
      <c r="E71" s="638"/>
      <c r="F71" s="638"/>
      <c r="G71" s="638"/>
      <c r="H71" s="638"/>
      <c r="I71" s="638"/>
      <c r="J71" s="638"/>
      <c r="K71" s="638"/>
      <c r="L71" s="638"/>
      <c r="M71" s="52" t="s">
        <v>646</v>
      </c>
      <c r="AH71" s="74"/>
    </row>
    <row r="72" spans="2:34" ht="15" customHeight="1" x14ac:dyDescent="0.25">
      <c r="B72" s="73"/>
      <c r="E72" s="638"/>
      <c r="F72" s="638"/>
      <c r="G72" s="638"/>
      <c r="H72" s="638"/>
      <c r="I72" s="638"/>
      <c r="J72" s="638"/>
      <c r="K72" s="638"/>
      <c r="L72" s="638"/>
      <c r="M72" s="52" t="s">
        <v>647</v>
      </c>
      <c r="AH72" s="74"/>
    </row>
    <row r="73" spans="2:34" ht="15" customHeight="1" x14ac:dyDescent="0.25">
      <c r="B73" s="73"/>
      <c r="E73" s="638" t="s">
        <v>648</v>
      </c>
      <c r="F73" s="638"/>
      <c r="G73" s="638"/>
      <c r="H73" s="638"/>
      <c r="I73" s="638"/>
      <c r="J73" s="52" t="s">
        <v>649</v>
      </c>
      <c r="AH73" s="74"/>
    </row>
    <row r="74" spans="2:34" ht="15" customHeight="1" x14ac:dyDescent="0.25">
      <c r="B74" s="73"/>
      <c r="E74" s="638"/>
      <c r="F74" s="638"/>
      <c r="G74" s="638"/>
      <c r="H74" s="638"/>
      <c r="I74" s="638"/>
      <c r="J74" s="52" t="s">
        <v>650</v>
      </c>
      <c r="AH74" s="74"/>
    </row>
    <row r="75" spans="2:34" ht="15" customHeight="1" x14ac:dyDescent="0.25">
      <c r="B75" s="73"/>
      <c r="E75" s="638"/>
      <c r="F75" s="638"/>
      <c r="G75" s="638"/>
      <c r="H75" s="638"/>
      <c r="I75" s="638"/>
      <c r="J75" s="52" t="s">
        <v>651</v>
      </c>
      <c r="AH75" s="74"/>
    </row>
    <row r="76" spans="2:34" ht="15" customHeight="1" x14ac:dyDescent="0.25">
      <c r="B76" s="73"/>
      <c r="E76" s="638"/>
      <c r="F76" s="638"/>
      <c r="G76" s="638"/>
      <c r="H76" s="638"/>
      <c r="I76" s="638"/>
      <c r="J76" s="52" t="s">
        <v>652</v>
      </c>
      <c r="AH76" s="74"/>
    </row>
    <row r="77" spans="2:34" ht="21" customHeight="1" x14ac:dyDescent="0.25">
      <c r="B77" s="73"/>
      <c r="E77" s="52" t="s">
        <v>576</v>
      </c>
      <c r="F77" s="52" t="s">
        <v>653</v>
      </c>
      <c r="AH77" s="74"/>
    </row>
    <row r="78" spans="2:34" ht="17.25" customHeight="1" x14ac:dyDescent="0.25">
      <c r="B78" s="82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8"/>
    </row>
    <row r="79" spans="2:34" ht="15" customHeight="1" x14ac:dyDescent="0.25">
      <c r="B79" s="52"/>
      <c r="AH79" s="79"/>
    </row>
    <row r="80" spans="2:34" ht="15" customHeight="1" x14ac:dyDescent="0.25">
      <c r="B80" s="8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81"/>
    </row>
    <row r="81" spans="2:34" ht="15" customHeight="1" x14ac:dyDescent="0.25">
      <c r="B81" s="73"/>
      <c r="C81" s="54" t="s">
        <v>654</v>
      </c>
      <c r="AH81" s="74"/>
    </row>
    <row r="82" spans="2:34" ht="15" customHeight="1" x14ac:dyDescent="0.25">
      <c r="B82" s="73"/>
      <c r="D82" s="52" t="s">
        <v>568</v>
      </c>
      <c r="E82" s="52" t="s">
        <v>655</v>
      </c>
      <c r="AH82" s="74"/>
    </row>
    <row r="83" spans="2:34" ht="15" customHeight="1" x14ac:dyDescent="0.25">
      <c r="B83" s="73"/>
      <c r="E83" s="52" t="s">
        <v>656</v>
      </c>
      <c r="AH83" s="74"/>
    </row>
    <row r="84" spans="2:34" ht="15" customHeight="1" x14ac:dyDescent="0.25">
      <c r="B84" s="73"/>
      <c r="D84" s="52" t="s">
        <v>570</v>
      </c>
      <c r="E84" s="52" t="s">
        <v>657</v>
      </c>
      <c r="AH84" s="74"/>
    </row>
    <row r="85" spans="2:34" ht="15" customHeight="1" x14ac:dyDescent="0.25">
      <c r="B85" s="73"/>
      <c r="D85" s="52" t="s">
        <v>582</v>
      </c>
      <c r="E85" s="52" t="s">
        <v>658</v>
      </c>
      <c r="AH85" s="74"/>
    </row>
    <row r="86" spans="2:34" ht="15" customHeight="1" x14ac:dyDescent="0.25">
      <c r="B86" s="73"/>
      <c r="E86" s="52" t="s">
        <v>584</v>
      </c>
      <c r="F86" s="52" t="s">
        <v>659</v>
      </c>
      <c r="AH86" s="74"/>
    </row>
    <row r="87" spans="2:34" ht="15" customHeight="1" x14ac:dyDescent="0.25">
      <c r="B87" s="73"/>
      <c r="F87" s="52" t="s">
        <v>660</v>
      </c>
      <c r="AH87" s="74"/>
    </row>
    <row r="88" spans="2:34" ht="15" customHeight="1" x14ac:dyDescent="0.25">
      <c r="B88" s="73"/>
      <c r="E88" s="52" t="s">
        <v>586</v>
      </c>
      <c r="F88" s="52" t="s">
        <v>661</v>
      </c>
      <c r="AH88" s="74"/>
    </row>
    <row r="89" spans="2:34" ht="15" customHeight="1" x14ac:dyDescent="0.25">
      <c r="B89" s="73"/>
      <c r="D89" s="52" t="s">
        <v>588</v>
      </c>
      <c r="E89" s="52" t="s">
        <v>662</v>
      </c>
      <c r="AH89" s="74"/>
    </row>
    <row r="90" spans="2:34" ht="15" customHeight="1" x14ac:dyDescent="0.25">
      <c r="B90" s="73"/>
      <c r="E90" s="52" t="s">
        <v>663</v>
      </c>
      <c r="AH90" s="74"/>
    </row>
    <row r="91" spans="2:34" ht="15" customHeight="1" x14ac:dyDescent="0.25">
      <c r="B91" s="73"/>
      <c r="E91" s="52" t="s">
        <v>664</v>
      </c>
      <c r="AH91" s="74"/>
    </row>
    <row r="92" spans="2:34" ht="15" customHeight="1" x14ac:dyDescent="0.25">
      <c r="B92" s="73"/>
      <c r="D92" s="52" t="s">
        <v>592</v>
      </c>
      <c r="E92" s="52" t="s">
        <v>665</v>
      </c>
      <c r="AH92" s="74"/>
    </row>
    <row r="93" spans="2:34" ht="15" customHeight="1" x14ac:dyDescent="0.25">
      <c r="B93" s="82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8"/>
    </row>
    <row r="95" spans="2:34" ht="15" customHeight="1" x14ac:dyDescent="0.25">
      <c r="B95" s="52"/>
    </row>
    <row r="96" spans="2:34" ht="15" customHeight="1" x14ac:dyDescent="0.25">
      <c r="B96" s="52"/>
    </row>
    <row r="97" spans="2:2" ht="15" customHeight="1" x14ac:dyDescent="0.25">
      <c r="B97" s="52"/>
    </row>
    <row r="98" spans="2:2" ht="15" customHeight="1" x14ac:dyDescent="0.25">
      <c r="B98" s="52"/>
    </row>
    <row r="99" spans="2:2" ht="15" customHeight="1" x14ac:dyDescent="0.25">
      <c r="B99" s="52"/>
    </row>
    <row r="100" spans="2:2" ht="15" customHeight="1" x14ac:dyDescent="0.25">
      <c r="B100" s="52"/>
    </row>
    <row r="101" spans="2:2" ht="15" customHeight="1" x14ac:dyDescent="0.25">
      <c r="B101" s="52"/>
    </row>
    <row r="102" spans="2:2" ht="15" customHeight="1" x14ac:dyDescent="0.25">
      <c r="B102" s="52"/>
    </row>
    <row r="103" spans="2:2" ht="15" customHeight="1" x14ac:dyDescent="0.25">
      <c r="B103" s="52"/>
    </row>
    <row r="104" spans="2:2" ht="15" customHeight="1" x14ac:dyDescent="0.25">
      <c r="B104" s="52"/>
    </row>
    <row r="105" spans="2:2" ht="15" customHeight="1" x14ac:dyDescent="0.25">
      <c r="B105" s="52"/>
    </row>
    <row r="106" spans="2:2" ht="15" customHeight="1" x14ac:dyDescent="0.25">
      <c r="B106" s="52"/>
    </row>
    <row r="107" spans="2:2" ht="15" customHeight="1" x14ac:dyDescent="0.25">
      <c r="B107" s="52"/>
    </row>
    <row r="108" spans="2:2" ht="15" customHeight="1" x14ac:dyDescent="0.25">
      <c r="B108" s="52"/>
    </row>
  </sheetData>
  <sheetProtection algorithmName="SHA-512" hashValue="7QwyLRw6Jlm/+NZFjzLMN0xqvJOUI+F0Gy7qVZVRz1ZKpl6mrja4BQZLuDaVAjVQjUK5dvN98xgL9BeCkXNQ9A==" saltValue="td7kpIfxLZR3URfTaS7N0A==" spinCount="100000" sheet="1" objects="1" scenarios="1"/>
  <dataConsolidate/>
  <mergeCells count="9">
    <mergeCell ref="E32:AC32"/>
    <mergeCell ref="E33:AB33"/>
    <mergeCell ref="E70:L72"/>
    <mergeCell ref="E73:I76"/>
    <mergeCell ref="E38:AH38"/>
    <mergeCell ref="E39:AH39"/>
    <mergeCell ref="E40:AH40"/>
    <mergeCell ref="E41:AH41"/>
    <mergeCell ref="E42:AH42"/>
  </mergeCells>
  <hyperlinks>
    <hyperlink ref="X90" r:id="rId1" display="eficiencia.energetica@copel.com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2"/>
  <headerFooter>
    <oddHeader>&amp;L&amp;"Calibri"&amp;10&amp;K0000FFUso Interno CPFL&amp;1#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A181-7B4F-49F1-8E40-7433CDC65A61}">
  <sheetPr codeName="Planilha5"/>
  <dimension ref="A1:C695"/>
  <sheetViews>
    <sheetView zoomScale="145" zoomScaleNormal="145" workbookViewId="0">
      <selection activeCell="C35" sqref="C35"/>
    </sheetView>
  </sheetViews>
  <sheetFormatPr defaultColWidth="9.28515625" defaultRowHeight="15" x14ac:dyDescent="0.25"/>
  <cols>
    <col min="1" max="1" width="29.85546875" bestFit="1" customWidth="1"/>
    <col min="2" max="2" width="19" bestFit="1" customWidth="1"/>
    <col min="3" max="3" width="15.28515625" bestFit="1" customWidth="1"/>
  </cols>
  <sheetData>
    <row r="1" spans="1:3" x14ac:dyDescent="0.25">
      <c r="A1" t="s">
        <v>696</v>
      </c>
      <c r="B1" t="s">
        <v>698</v>
      </c>
      <c r="C1" t="s">
        <v>699</v>
      </c>
    </row>
    <row r="2" spans="1:3" x14ac:dyDescent="0.25">
      <c r="A2" t="s">
        <v>5173</v>
      </c>
      <c r="B2" s="585">
        <v>11.4</v>
      </c>
      <c r="C2" s="585">
        <v>2.2999999999999998</v>
      </c>
    </row>
    <row r="3" spans="1:3" x14ac:dyDescent="0.25">
      <c r="A3" t="s">
        <v>5171</v>
      </c>
      <c r="B3" s="585">
        <v>11.4</v>
      </c>
      <c r="C3" s="585">
        <v>2.2999999999999998</v>
      </c>
    </row>
    <row r="4" spans="1:3" x14ac:dyDescent="0.25">
      <c r="A4" t="s">
        <v>5183</v>
      </c>
      <c r="B4" s="585">
        <v>11.4</v>
      </c>
      <c r="C4" s="585">
        <v>2.2999999999999998</v>
      </c>
    </row>
    <row r="5" spans="1:3" x14ac:dyDescent="0.25">
      <c r="A5" t="s">
        <v>5169</v>
      </c>
      <c r="B5" s="585">
        <v>11.4</v>
      </c>
      <c r="C5" s="585">
        <v>2.2999999999999998</v>
      </c>
    </row>
    <row r="6" spans="1:3" x14ac:dyDescent="0.25">
      <c r="A6" t="s">
        <v>5176</v>
      </c>
      <c r="B6" s="585">
        <v>11.416666666666666</v>
      </c>
      <c r="C6" s="585">
        <v>2.2999999999999998</v>
      </c>
    </row>
    <row r="7" spans="1:3" x14ac:dyDescent="0.25">
      <c r="A7" t="s">
        <v>5181</v>
      </c>
      <c r="B7" s="585">
        <v>11.4</v>
      </c>
      <c r="C7" s="585">
        <v>2.2999999999999998</v>
      </c>
    </row>
    <row r="8" spans="1:3" x14ac:dyDescent="0.25">
      <c r="A8" t="s">
        <v>5172</v>
      </c>
      <c r="B8" s="585">
        <v>11.416666666666666</v>
      </c>
      <c r="C8" s="585">
        <v>2.2999999999999998</v>
      </c>
    </row>
    <row r="9" spans="1:3" x14ac:dyDescent="0.25">
      <c r="A9" t="s">
        <v>5177</v>
      </c>
      <c r="B9" s="585">
        <v>11.4</v>
      </c>
      <c r="C9" s="585">
        <v>2.2999999999999998</v>
      </c>
    </row>
    <row r="10" spans="1:3" x14ac:dyDescent="0.25">
      <c r="A10" t="s">
        <v>5184</v>
      </c>
      <c r="B10" s="585">
        <v>11.4</v>
      </c>
      <c r="C10" s="585">
        <v>2.2999999999999998</v>
      </c>
    </row>
    <row r="11" spans="1:3" x14ac:dyDescent="0.25">
      <c r="A11" t="s">
        <v>5185</v>
      </c>
      <c r="B11" s="585">
        <v>11.4</v>
      </c>
      <c r="C11" s="585">
        <v>2.2999999999999998</v>
      </c>
    </row>
    <row r="12" spans="1:3" x14ac:dyDescent="0.25">
      <c r="A12" t="s">
        <v>5180</v>
      </c>
      <c r="B12" s="585">
        <v>11.416666666666666</v>
      </c>
      <c r="C12" s="585">
        <v>2.2999999999999998</v>
      </c>
    </row>
    <row r="13" spans="1:3" x14ac:dyDescent="0.25">
      <c r="A13" t="s">
        <v>5186</v>
      </c>
      <c r="B13" s="585">
        <v>11.4</v>
      </c>
      <c r="C13" s="585">
        <v>2.2999999999999998</v>
      </c>
    </row>
    <row r="14" spans="1:3" x14ac:dyDescent="0.25">
      <c r="A14" t="s">
        <v>5187</v>
      </c>
      <c r="B14" s="585">
        <v>11.4</v>
      </c>
      <c r="C14" s="585">
        <v>2.2999999999999998</v>
      </c>
    </row>
    <row r="15" spans="1:3" x14ac:dyDescent="0.25">
      <c r="A15" t="s">
        <v>5188</v>
      </c>
      <c r="B15" s="585">
        <v>11.4</v>
      </c>
      <c r="C15" s="585">
        <v>2.2999999999999998</v>
      </c>
    </row>
    <row r="16" spans="1:3" x14ac:dyDescent="0.25">
      <c r="A16" t="s">
        <v>5189</v>
      </c>
      <c r="B16" s="585">
        <v>11.4</v>
      </c>
      <c r="C16" s="585">
        <v>2.2999999999999998</v>
      </c>
    </row>
    <row r="17" spans="1:3" x14ac:dyDescent="0.25">
      <c r="A17" t="s">
        <v>2679</v>
      </c>
      <c r="B17" s="585">
        <v>11.4</v>
      </c>
      <c r="C17" s="585">
        <v>2.2999999999999998</v>
      </c>
    </row>
    <row r="18" spans="1:3" x14ac:dyDescent="0.25">
      <c r="A18" t="s">
        <v>5190</v>
      </c>
      <c r="B18" s="585">
        <v>11.416666666666666</v>
      </c>
      <c r="C18" s="585">
        <v>2.2999999999999998</v>
      </c>
    </row>
    <row r="19" spans="1:3" x14ac:dyDescent="0.25">
      <c r="A19" t="s">
        <v>5191</v>
      </c>
      <c r="B19" s="585">
        <v>11.4</v>
      </c>
      <c r="C19" s="585">
        <v>2.2999999999999998</v>
      </c>
    </row>
    <row r="20" spans="1:3" x14ac:dyDescent="0.25">
      <c r="A20" t="s">
        <v>5192</v>
      </c>
      <c r="B20" s="585">
        <v>11.4</v>
      </c>
      <c r="C20" s="585">
        <v>2.2999999999999998</v>
      </c>
    </row>
    <row r="21" spans="1:3" x14ac:dyDescent="0.25">
      <c r="A21" t="s">
        <v>5193</v>
      </c>
      <c r="B21" s="585">
        <v>11.4</v>
      </c>
      <c r="C21" s="585">
        <v>2.2999999999999998</v>
      </c>
    </row>
    <row r="22" spans="1:3" x14ac:dyDescent="0.25">
      <c r="A22" t="s">
        <v>5194</v>
      </c>
      <c r="B22" s="585">
        <v>11.4</v>
      </c>
      <c r="C22" s="585">
        <v>2.2999999999999998</v>
      </c>
    </row>
    <row r="23" spans="1:3" x14ac:dyDescent="0.25">
      <c r="A23" t="s">
        <v>5195</v>
      </c>
      <c r="B23" s="585">
        <v>11.4</v>
      </c>
      <c r="C23" s="585">
        <v>2.2999999999999998</v>
      </c>
    </row>
    <row r="24" spans="1:3" x14ac:dyDescent="0.25">
      <c r="A24" t="s">
        <v>5196</v>
      </c>
      <c r="B24" s="585">
        <v>11.4</v>
      </c>
      <c r="C24" s="585">
        <v>2.2999999999999998</v>
      </c>
    </row>
    <row r="25" spans="1:3" x14ac:dyDescent="0.25">
      <c r="A25" t="s">
        <v>5197</v>
      </c>
      <c r="B25" s="585">
        <v>11.4</v>
      </c>
      <c r="C25" s="585">
        <v>2.2999999999999998</v>
      </c>
    </row>
    <row r="26" spans="1:3" x14ac:dyDescent="0.25">
      <c r="A26" t="s">
        <v>5198</v>
      </c>
      <c r="B26" s="585">
        <v>11.4</v>
      </c>
      <c r="C26" s="585">
        <v>2.2999999999999998</v>
      </c>
    </row>
    <row r="27" spans="1:3" x14ac:dyDescent="0.25">
      <c r="A27" t="s">
        <v>5199</v>
      </c>
      <c r="B27" s="585">
        <v>11.4</v>
      </c>
      <c r="C27" s="585">
        <v>2.2999999999999998</v>
      </c>
    </row>
    <row r="28" spans="1:3" x14ac:dyDescent="0.25">
      <c r="A28" t="s">
        <v>5200</v>
      </c>
      <c r="B28" s="585">
        <v>11.4</v>
      </c>
      <c r="C28" s="585">
        <v>2.2999999999999998</v>
      </c>
    </row>
    <row r="29" spans="1:3" x14ac:dyDescent="0.25">
      <c r="A29" t="s">
        <v>5201</v>
      </c>
      <c r="B29" s="585">
        <v>11.4</v>
      </c>
      <c r="C29" s="585">
        <v>2.2999999999999998</v>
      </c>
    </row>
    <row r="30" spans="1:3" x14ac:dyDescent="0.25">
      <c r="A30" t="s">
        <v>5202</v>
      </c>
      <c r="B30" s="585">
        <v>11.4</v>
      </c>
      <c r="C30" s="585">
        <v>2.2999999999999998</v>
      </c>
    </row>
    <row r="31" spans="1:3" x14ac:dyDescent="0.25">
      <c r="A31" t="s">
        <v>5203</v>
      </c>
      <c r="B31" s="585">
        <v>11.4</v>
      </c>
      <c r="C31" s="585">
        <v>2.2999999999999998</v>
      </c>
    </row>
    <row r="32" spans="1:3" x14ac:dyDescent="0.25">
      <c r="A32" t="s">
        <v>5204</v>
      </c>
      <c r="B32" s="585">
        <v>11.4</v>
      </c>
      <c r="C32" s="585">
        <v>2.2999999999999998</v>
      </c>
    </row>
    <row r="33" spans="1:3" x14ac:dyDescent="0.25">
      <c r="A33" t="s">
        <v>5205</v>
      </c>
      <c r="B33" s="585">
        <v>11.4</v>
      </c>
      <c r="C33" s="585">
        <v>2.2999999999999998</v>
      </c>
    </row>
    <row r="34" spans="1:3" x14ac:dyDescent="0.25">
      <c r="A34" t="s">
        <v>5206</v>
      </c>
      <c r="B34" s="585">
        <v>11.4</v>
      </c>
      <c r="C34" s="585">
        <v>2.2999999999999998</v>
      </c>
    </row>
    <row r="35" spans="1:3" x14ac:dyDescent="0.25">
      <c r="A35" t="s">
        <v>5207</v>
      </c>
      <c r="B35" s="585">
        <v>11.416666666666666</v>
      </c>
      <c r="C35" s="585">
        <v>2.2999999999999998</v>
      </c>
    </row>
    <row r="36" spans="1:3" x14ac:dyDescent="0.25">
      <c r="A36" t="s">
        <v>5208</v>
      </c>
      <c r="B36" s="585">
        <v>11.4</v>
      </c>
      <c r="C36" s="585">
        <v>2.2999999999999998</v>
      </c>
    </row>
    <row r="37" spans="1:3" x14ac:dyDescent="0.25">
      <c r="A37" t="s">
        <v>5209</v>
      </c>
      <c r="B37" s="585">
        <v>11.4</v>
      </c>
      <c r="C37" s="585">
        <v>2.2999999999999998</v>
      </c>
    </row>
    <row r="38" spans="1:3" x14ac:dyDescent="0.25">
      <c r="A38" t="s">
        <v>5210</v>
      </c>
      <c r="B38" s="585">
        <v>11.4</v>
      </c>
      <c r="C38" s="585">
        <v>2.2999999999999998</v>
      </c>
    </row>
    <row r="39" spans="1:3" x14ac:dyDescent="0.25">
      <c r="A39" t="s">
        <v>5211</v>
      </c>
      <c r="B39" s="585">
        <v>11.4</v>
      </c>
      <c r="C39" s="585">
        <v>2.2999999999999998</v>
      </c>
    </row>
    <row r="40" spans="1:3" x14ac:dyDescent="0.25">
      <c r="A40" t="s">
        <v>5212</v>
      </c>
      <c r="B40" s="585">
        <v>11.4</v>
      </c>
      <c r="C40" s="585">
        <v>2.2999999999999998</v>
      </c>
    </row>
    <row r="41" spans="1:3" x14ac:dyDescent="0.25">
      <c r="A41" t="s">
        <v>5213</v>
      </c>
      <c r="B41" s="585">
        <v>11.4</v>
      </c>
      <c r="C41" s="585">
        <v>2.2999999999999998</v>
      </c>
    </row>
    <row r="42" spans="1:3" x14ac:dyDescent="0.25">
      <c r="A42" t="s">
        <v>5214</v>
      </c>
      <c r="B42" s="585">
        <v>11.4</v>
      </c>
      <c r="C42" s="585">
        <v>2.2999999999999998</v>
      </c>
    </row>
    <row r="43" spans="1:3" x14ac:dyDescent="0.25">
      <c r="A43" t="s">
        <v>5215</v>
      </c>
      <c r="B43" s="585">
        <v>11.4</v>
      </c>
      <c r="C43" s="585">
        <v>2.2999999999999998</v>
      </c>
    </row>
    <row r="44" spans="1:3" x14ac:dyDescent="0.25">
      <c r="A44" t="s">
        <v>5216</v>
      </c>
      <c r="B44" s="585">
        <v>11.4</v>
      </c>
      <c r="C44" s="585">
        <v>2.2999999999999998</v>
      </c>
    </row>
    <row r="45" spans="1:3" x14ac:dyDescent="0.25">
      <c r="A45" t="s">
        <v>5217</v>
      </c>
      <c r="B45" s="585">
        <v>11.4</v>
      </c>
      <c r="C45" s="585">
        <v>2.2999999999999998</v>
      </c>
    </row>
    <row r="46" spans="1:3" x14ac:dyDescent="0.25">
      <c r="A46" t="s">
        <v>5218</v>
      </c>
      <c r="B46" s="585">
        <v>11.4</v>
      </c>
      <c r="C46" s="585">
        <v>2.2999999999999998</v>
      </c>
    </row>
    <row r="47" spans="1:3" x14ac:dyDescent="0.25">
      <c r="A47" t="s">
        <v>5219</v>
      </c>
      <c r="B47" s="585">
        <v>11.4</v>
      </c>
      <c r="C47" s="585">
        <v>2.2999999999999998</v>
      </c>
    </row>
    <row r="48" spans="1:3" x14ac:dyDescent="0.25">
      <c r="A48" t="s">
        <v>5220</v>
      </c>
      <c r="B48" s="585">
        <v>11.4</v>
      </c>
      <c r="C48" s="585">
        <v>2.2999999999999998</v>
      </c>
    </row>
    <row r="49" spans="1:3" x14ac:dyDescent="0.25">
      <c r="A49" t="s">
        <v>5221</v>
      </c>
      <c r="B49" s="585">
        <v>11.4</v>
      </c>
      <c r="C49" s="585">
        <v>2.2999999999999998</v>
      </c>
    </row>
    <row r="50" spans="1:3" x14ac:dyDescent="0.25">
      <c r="A50" t="s">
        <v>5222</v>
      </c>
      <c r="B50" s="585">
        <v>11.4</v>
      </c>
      <c r="C50" s="585">
        <v>2.2999999999999998</v>
      </c>
    </row>
    <row r="51" spans="1:3" x14ac:dyDescent="0.25">
      <c r="A51" t="s">
        <v>5223</v>
      </c>
      <c r="B51" s="585">
        <v>11.4</v>
      </c>
      <c r="C51" s="585">
        <v>2.2999999999999998</v>
      </c>
    </row>
    <row r="52" spans="1:3" x14ac:dyDescent="0.25">
      <c r="A52" t="s">
        <v>5224</v>
      </c>
      <c r="B52" s="585">
        <v>11.4</v>
      </c>
      <c r="C52" s="585">
        <v>2.2999999999999998</v>
      </c>
    </row>
    <row r="53" spans="1:3" x14ac:dyDescent="0.25">
      <c r="A53" t="s">
        <v>5225</v>
      </c>
      <c r="B53" s="585">
        <v>11.4</v>
      </c>
      <c r="C53" s="585">
        <v>2.2999999999999998</v>
      </c>
    </row>
    <row r="54" spans="1:3" x14ac:dyDescent="0.25">
      <c r="A54" t="s">
        <v>5226</v>
      </c>
      <c r="B54" s="585">
        <v>11.4</v>
      </c>
      <c r="C54" s="585">
        <v>2.2999999999999998</v>
      </c>
    </row>
    <row r="55" spans="1:3" x14ac:dyDescent="0.25">
      <c r="A55" t="s">
        <v>5227</v>
      </c>
      <c r="B55" s="585">
        <v>11.4</v>
      </c>
      <c r="C55" s="585">
        <v>2.2999999999999998</v>
      </c>
    </row>
    <row r="56" spans="1:3" x14ac:dyDescent="0.25">
      <c r="A56" t="s">
        <v>5228</v>
      </c>
      <c r="B56" s="585">
        <v>11.4</v>
      </c>
      <c r="C56" s="585">
        <v>2.2999999999999998</v>
      </c>
    </row>
    <row r="57" spans="1:3" x14ac:dyDescent="0.25">
      <c r="A57" t="s">
        <v>5229</v>
      </c>
      <c r="B57" s="585">
        <v>11.4</v>
      </c>
      <c r="C57" s="585">
        <v>2.2999999999999998</v>
      </c>
    </row>
    <row r="58" spans="1:3" x14ac:dyDescent="0.25">
      <c r="A58" t="s">
        <v>5230</v>
      </c>
      <c r="B58" s="585">
        <v>11.4</v>
      </c>
      <c r="C58" s="585">
        <v>2.2999999999999998</v>
      </c>
    </row>
    <row r="59" spans="1:3" x14ac:dyDescent="0.25">
      <c r="A59" t="s">
        <v>5231</v>
      </c>
      <c r="B59" s="585">
        <v>11.4</v>
      </c>
      <c r="C59" s="585">
        <v>2.2999999999999998</v>
      </c>
    </row>
    <row r="60" spans="1:3" x14ac:dyDescent="0.25">
      <c r="A60" t="s">
        <v>5232</v>
      </c>
      <c r="B60" s="585">
        <v>11.4</v>
      </c>
      <c r="C60" s="585">
        <v>2.2999999999999998</v>
      </c>
    </row>
    <row r="61" spans="1:3" x14ac:dyDescent="0.25">
      <c r="A61" t="s">
        <v>5233</v>
      </c>
      <c r="B61" s="585">
        <v>11.4</v>
      </c>
      <c r="C61" s="585">
        <v>2.2999999999999998</v>
      </c>
    </row>
    <row r="62" spans="1:3" x14ac:dyDescent="0.25">
      <c r="A62" t="s">
        <v>5234</v>
      </c>
      <c r="B62" s="585">
        <v>11.4</v>
      </c>
      <c r="C62" s="585">
        <v>2.2999999999999998</v>
      </c>
    </row>
    <row r="63" spans="1:3" x14ac:dyDescent="0.25">
      <c r="A63" t="s">
        <v>5235</v>
      </c>
      <c r="B63" s="585">
        <v>11.416666666666666</v>
      </c>
      <c r="C63" s="585">
        <v>2.2999999999999998</v>
      </c>
    </row>
    <row r="64" spans="1:3" x14ac:dyDescent="0.25">
      <c r="A64" t="s">
        <v>5236</v>
      </c>
      <c r="B64" s="585">
        <v>11.4</v>
      </c>
      <c r="C64" s="585">
        <v>2.2999999999999998</v>
      </c>
    </row>
    <row r="65" spans="1:3" x14ac:dyDescent="0.25">
      <c r="A65" t="s">
        <v>5237</v>
      </c>
      <c r="B65" s="585">
        <v>11.4</v>
      </c>
      <c r="C65" s="585">
        <v>2.2999999999999998</v>
      </c>
    </row>
    <row r="66" spans="1:3" x14ac:dyDescent="0.25">
      <c r="A66" t="s">
        <v>5238</v>
      </c>
      <c r="B66" s="585">
        <v>11.4</v>
      </c>
      <c r="C66" s="585">
        <v>2.2999999999999998</v>
      </c>
    </row>
    <row r="67" spans="1:3" x14ac:dyDescent="0.25">
      <c r="A67" t="s">
        <v>5239</v>
      </c>
      <c r="B67" s="585">
        <v>11.416666666666666</v>
      </c>
      <c r="C67" s="585">
        <v>2.2999999999999998</v>
      </c>
    </row>
    <row r="68" spans="1:3" x14ac:dyDescent="0.25">
      <c r="A68" t="s">
        <v>5240</v>
      </c>
      <c r="B68" s="585">
        <v>11.4</v>
      </c>
      <c r="C68" s="585">
        <v>2.2999999999999998</v>
      </c>
    </row>
    <row r="69" spans="1:3" x14ac:dyDescent="0.25">
      <c r="A69" t="s">
        <v>5241</v>
      </c>
      <c r="B69" s="585">
        <v>11.4</v>
      </c>
      <c r="C69" s="585">
        <v>2.2999999999999998</v>
      </c>
    </row>
    <row r="70" spans="1:3" x14ac:dyDescent="0.25">
      <c r="A70" t="s">
        <v>5242</v>
      </c>
      <c r="B70" s="585">
        <v>11.4</v>
      </c>
      <c r="C70" s="585">
        <v>2.2999999999999998</v>
      </c>
    </row>
    <row r="71" spans="1:3" x14ac:dyDescent="0.25">
      <c r="A71" t="s">
        <v>5243</v>
      </c>
      <c r="B71" s="585">
        <v>11.4</v>
      </c>
      <c r="C71" s="585">
        <v>2.2999999999999998</v>
      </c>
    </row>
    <row r="72" spans="1:3" x14ac:dyDescent="0.25">
      <c r="A72" t="s">
        <v>5244</v>
      </c>
      <c r="B72" s="585">
        <v>11.4</v>
      </c>
      <c r="C72" s="585">
        <v>2.2999999999999998</v>
      </c>
    </row>
    <row r="73" spans="1:3" x14ac:dyDescent="0.25">
      <c r="A73" t="s">
        <v>5245</v>
      </c>
      <c r="B73" s="585">
        <v>11.4</v>
      </c>
      <c r="C73" s="585">
        <v>2.2999999999999998</v>
      </c>
    </row>
    <row r="74" spans="1:3" x14ac:dyDescent="0.25">
      <c r="A74" t="s">
        <v>5246</v>
      </c>
      <c r="B74" s="585">
        <v>11.4</v>
      </c>
      <c r="C74" s="585">
        <v>2.2999999999999998</v>
      </c>
    </row>
    <row r="75" spans="1:3" x14ac:dyDescent="0.25">
      <c r="A75" t="s">
        <v>5247</v>
      </c>
      <c r="B75" s="585">
        <v>11.4</v>
      </c>
      <c r="C75" s="585">
        <v>2.2999999999999998</v>
      </c>
    </row>
    <row r="76" spans="1:3" x14ac:dyDescent="0.25">
      <c r="A76" t="s">
        <v>5248</v>
      </c>
      <c r="B76" s="585">
        <v>11.4</v>
      </c>
      <c r="C76" s="585">
        <v>2.2999999999999998</v>
      </c>
    </row>
    <row r="77" spans="1:3" x14ac:dyDescent="0.25">
      <c r="A77" t="s">
        <v>5249</v>
      </c>
      <c r="B77" s="585">
        <v>11.4</v>
      </c>
      <c r="C77" s="585">
        <v>2.2999999999999998</v>
      </c>
    </row>
    <row r="78" spans="1:3" x14ac:dyDescent="0.25">
      <c r="A78" t="s">
        <v>5250</v>
      </c>
      <c r="B78" s="585">
        <v>11.416666666666666</v>
      </c>
      <c r="C78" s="585">
        <v>2.2999999999999998</v>
      </c>
    </row>
    <row r="79" spans="1:3" x14ac:dyDescent="0.25">
      <c r="A79" t="s">
        <v>5251</v>
      </c>
      <c r="B79" s="585">
        <v>11.4</v>
      </c>
      <c r="C79" s="585">
        <v>2.2999999999999998</v>
      </c>
    </row>
    <row r="80" spans="1:3" x14ac:dyDescent="0.25">
      <c r="A80" t="s">
        <v>5252</v>
      </c>
      <c r="B80" s="585">
        <v>11.4</v>
      </c>
      <c r="C80" s="585">
        <v>2.2999999999999998</v>
      </c>
    </row>
    <row r="81" spans="1:3" x14ac:dyDescent="0.25">
      <c r="A81" t="s">
        <v>5253</v>
      </c>
      <c r="B81" s="585">
        <v>11.416666666666666</v>
      </c>
      <c r="C81" s="585">
        <v>2.2999999999999998</v>
      </c>
    </row>
    <row r="82" spans="1:3" x14ac:dyDescent="0.25">
      <c r="A82" t="s">
        <v>5254</v>
      </c>
      <c r="B82" s="585">
        <v>11.4</v>
      </c>
      <c r="C82" s="585">
        <v>2.2999999999999998</v>
      </c>
    </row>
    <row r="83" spans="1:3" x14ac:dyDescent="0.25">
      <c r="A83" t="s">
        <v>5255</v>
      </c>
      <c r="B83" s="585">
        <v>11.4</v>
      </c>
      <c r="C83" s="585">
        <v>2.2999999999999998</v>
      </c>
    </row>
    <row r="84" spans="1:3" x14ac:dyDescent="0.25">
      <c r="A84" t="s">
        <v>5256</v>
      </c>
      <c r="B84" s="585">
        <v>11.4</v>
      </c>
      <c r="C84" s="585">
        <v>2.2999999999999998</v>
      </c>
    </row>
    <row r="85" spans="1:3" x14ac:dyDescent="0.25">
      <c r="A85" t="s">
        <v>5257</v>
      </c>
      <c r="B85" s="585">
        <v>11.4</v>
      </c>
      <c r="C85" s="585">
        <v>2.2999999999999998</v>
      </c>
    </row>
    <row r="86" spans="1:3" x14ac:dyDescent="0.25">
      <c r="A86" t="s">
        <v>5258</v>
      </c>
      <c r="B86" s="585">
        <v>11.4</v>
      </c>
      <c r="C86" s="585">
        <v>2.2999999999999998</v>
      </c>
    </row>
    <row r="87" spans="1:3" x14ac:dyDescent="0.25">
      <c r="A87" t="s">
        <v>5259</v>
      </c>
      <c r="B87" s="585">
        <v>11.4</v>
      </c>
      <c r="C87" s="585">
        <v>2.2999999999999998</v>
      </c>
    </row>
    <row r="88" spans="1:3" x14ac:dyDescent="0.25">
      <c r="A88" t="s">
        <v>5260</v>
      </c>
      <c r="B88" s="585">
        <v>11.416666666666666</v>
      </c>
      <c r="C88" s="585">
        <v>2.2999999999999998</v>
      </c>
    </row>
    <row r="89" spans="1:3" x14ac:dyDescent="0.25">
      <c r="A89" t="s">
        <v>5261</v>
      </c>
      <c r="B89" s="585">
        <v>11.4</v>
      </c>
      <c r="C89" s="585">
        <v>2.2999999999999998</v>
      </c>
    </row>
    <row r="90" spans="1:3" x14ac:dyDescent="0.25">
      <c r="A90" t="s">
        <v>5262</v>
      </c>
      <c r="B90" s="585">
        <v>11.4</v>
      </c>
      <c r="C90" s="585">
        <v>2.2999999999999998</v>
      </c>
    </row>
    <row r="91" spans="1:3" x14ac:dyDescent="0.25">
      <c r="A91" t="s">
        <v>5263</v>
      </c>
      <c r="B91" s="585">
        <v>11.4</v>
      </c>
      <c r="C91" s="585">
        <v>2.2999999999999998</v>
      </c>
    </row>
    <row r="92" spans="1:3" x14ac:dyDescent="0.25">
      <c r="A92" t="s">
        <v>5264</v>
      </c>
      <c r="B92" s="585">
        <v>11.416666666666666</v>
      </c>
      <c r="C92" s="585">
        <v>2.2999999999999998</v>
      </c>
    </row>
    <row r="93" spans="1:3" x14ac:dyDescent="0.25">
      <c r="A93" t="s">
        <v>5265</v>
      </c>
      <c r="B93" s="585">
        <v>11.4</v>
      </c>
      <c r="C93" s="585">
        <v>2.2999999999999998</v>
      </c>
    </row>
    <row r="94" spans="1:3" x14ac:dyDescent="0.25">
      <c r="A94" t="s">
        <v>5266</v>
      </c>
      <c r="B94" s="585">
        <v>11.4</v>
      </c>
      <c r="C94" s="585">
        <v>2.2999999999999998</v>
      </c>
    </row>
    <row r="95" spans="1:3" x14ac:dyDescent="0.25">
      <c r="A95" t="s">
        <v>5267</v>
      </c>
      <c r="B95" s="585">
        <v>11.4</v>
      </c>
      <c r="C95" s="585">
        <v>2.2999999999999998</v>
      </c>
    </row>
    <row r="96" spans="1:3" x14ac:dyDescent="0.25">
      <c r="A96" t="s">
        <v>5268</v>
      </c>
      <c r="B96" s="585">
        <v>11.4</v>
      </c>
      <c r="C96" s="585">
        <v>2.2999999999999998</v>
      </c>
    </row>
    <row r="97" spans="1:3" x14ac:dyDescent="0.25">
      <c r="A97" t="s">
        <v>5269</v>
      </c>
      <c r="B97" s="585">
        <v>11.4</v>
      </c>
      <c r="C97" s="585">
        <v>2.2999999999999998</v>
      </c>
    </row>
    <row r="98" spans="1:3" x14ac:dyDescent="0.25">
      <c r="A98" t="s">
        <v>5270</v>
      </c>
      <c r="B98" s="585">
        <v>11.4</v>
      </c>
      <c r="C98" s="585">
        <v>2.2999999999999998</v>
      </c>
    </row>
    <row r="99" spans="1:3" x14ac:dyDescent="0.25">
      <c r="A99" t="s">
        <v>5271</v>
      </c>
      <c r="B99" s="585">
        <v>11.4</v>
      </c>
      <c r="C99" s="585">
        <v>2.2999999999999998</v>
      </c>
    </row>
    <row r="100" spans="1:3" x14ac:dyDescent="0.25">
      <c r="A100" t="s">
        <v>5272</v>
      </c>
      <c r="B100" s="585">
        <v>11.416666666666666</v>
      </c>
      <c r="C100" s="585">
        <v>2.2999999999999998</v>
      </c>
    </row>
    <row r="101" spans="1:3" x14ac:dyDescent="0.25">
      <c r="A101" t="s">
        <v>5273</v>
      </c>
      <c r="B101" s="585">
        <v>11.4</v>
      </c>
      <c r="C101" s="585">
        <v>2.2999999999999998</v>
      </c>
    </row>
    <row r="102" spans="1:3" x14ac:dyDescent="0.25">
      <c r="A102" t="s">
        <v>5274</v>
      </c>
      <c r="B102" s="585">
        <v>11.4</v>
      </c>
      <c r="C102" s="585">
        <v>2.2999999999999998</v>
      </c>
    </row>
    <row r="103" spans="1:3" x14ac:dyDescent="0.25">
      <c r="A103" t="s">
        <v>5275</v>
      </c>
      <c r="B103" s="585">
        <v>11.4</v>
      </c>
      <c r="C103" s="585">
        <v>2.2999999999999998</v>
      </c>
    </row>
    <row r="104" spans="1:3" x14ac:dyDescent="0.25">
      <c r="A104" t="s">
        <v>5276</v>
      </c>
      <c r="B104" s="585">
        <v>11.4</v>
      </c>
      <c r="C104" s="585">
        <v>2.2999999999999998</v>
      </c>
    </row>
    <row r="105" spans="1:3" x14ac:dyDescent="0.25">
      <c r="A105" t="s">
        <v>5277</v>
      </c>
      <c r="B105" s="585">
        <v>11.4</v>
      </c>
      <c r="C105" s="585">
        <v>2.2999999999999998</v>
      </c>
    </row>
    <row r="106" spans="1:3" x14ac:dyDescent="0.25">
      <c r="A106" t="s">
        <v>5278</v>
      </c>
      <c r="B106" s="585">
        <v>11.4</v>
      </c>
      <c r="C106" s="585">
        <v>2.2999999999999998</v>
      </c>
    </row>
    <row r="107" spans="1:3" x14ac:dyDescent="0.25">
      <c r="A107" t="s">
        <v>5279</v>
      </c>
      <c r="B107" s="585">
        <v>11.4</v>
      </c>
      <c r="C107" s="585">
        <v>2.2999999999999998</v>
      </c>
    </row>
    <row r="108" spans="1:3" x14ac:dyDescent="0.25">
      <c r="A108" t="s">
        <v>5280</v>
      </c>
      <c r="B108" s="585">
        <v>11.4</v>
      </c>
      <c r="C108" s="585">
        <v>2.2999999999999998</v>
      </c>
    </row>
    <row r="109" spans="1:3" x14ac:dyDescent="0.25">
      <c r="A109" t="s">
        <v>5281</v>
      </c>
      <c r="B109" s="585">
        <v>11.4</v>
      </c>
      <c r="C109" s="585">
        <v>2.2999999999999998</v>
      </c>
    </row>
    <row r="110" spans="1:3" x14ac:dyDescent="0.25">
      <c r="A110" t="s">
        <v>5282</v>
      </c>
      <c r="B110" s="585">
        <v>11.4</v>
      </c>
      <c r="C110" s="585">
        <v>2.2999999999999998</v>
      </c>
    </row>
    <row r="111" spans="1:3" x14ac:dyDescent="0.25">
      <c r="A111" t="s">
        <v>5283</v>
      </c>
      <c r="B111" s="585">
        <v>11.4</v>
      </c>
      <c r="C111" s="585">
        <v>2.2999999999999998</v>
      </c>
    </row>
    <row r="112" spans="1:3" x14ac:dyDescent="0.25">
      <c r="A112" t="s">
        <v>5284</v>
      </c>
      <c r="B112" s="585">
        <v>11.4</v>
      </c>
      <c r="C112" s="585">
        <v>2.2999999999999998</v>
      </c>
    </row>
    <row r="113" spans="1:3" x14ac:dyDescent="0.25">
      <c r="A113" t="s">
        <v>5285</v>
      </c>
      <c r="B113" s="585">
        <v>11.4</v>
      </c>
      <c r="C113" s="585">
        <v>2.2999999999999998</v>
      </c>
    </row>
    <row r="114" spans="1:3" x14ac:dyDescent="0.25">
      <c r="A114" t="s">
        <v>5286</v>
      </c>
      <c r="B114" s="585">
        <v>11.4</v>
      </c>
      <c r="C114" s="585">
        <v>2.2999999999999998</v>
      </c>
    </row>
    <row r="115" spans="1:3" x14ac:dyDescent="0.25">
      <c r="A115" t="s">
        <v>5287</v>
      </c>
      <c r="B115" s="585">
        <v>11.4</v>
      </c>
      <c r="C115" s="585">
        <v>2.2999999999999998</v>
      </c>
    </row>
    <row r="116" spans="1:3" x14ac:dyDescent="0.25">
      <c r="A116" t="s">
        <v>5288</v>
      </c>
      <c r="B116" s="585">
        <v>11.4</v>
      </c>
      <c r="C116" s="585">
        <v>2.2999999999999998</v>
      </c>
    </row>
    <row r="117" spans="1:3" x14ac:dyDescent="0.25">
      <c r="A117" t="s">
        <v>5289</v>
      </c>
      <c r="B117" s="585">
        <v>11.416666666666666</v>
      </c>
      <c r="C117" s="585">
        <v>2.2999999999999998</v>
      </c>
    </row>
    <row r="118" spans="1:3" x14ac:dyDescent="0.25">
      <c r="A118" t="s">
        <v>5290</v>
      </c>
      <c r="B118" s="585">
        <v>11.4</v>
      </c>
      <c r="C118" s="585">
        <v>2.2999999999999998</v>
      </c>
    </row>
    <row r="119" spans="1:3" x14ac:dyDescent="0.25">
      <c r="A119" t="s">
        <v>5291</v>
      </c>
      <c r="B119" s="585">
        <v>11.416666666666666</v>
      </c>
      <c r="C119" s="585">
        <v>2.2999999999999998</v>
      </c>
    </row>
    <row r="120" spans="1:3" x14ac:dyDescent="0.25">
      <c r="A120" t="s">
        <v>5292</v>
      </c>
      <c r="B120" s="585">
        <v>11.4</v>
      </c>
      <c r="C120" s="585">
        <v>2.2999999999999998</v>
      </c>
    </row>
    <row r="121" spans="1:3" x14ac:dyDescent="0.25">
      <c r="A121" t="s">
        <v>5293</v>
      </c>
      <c r="B121" s="585">
        <v>11.4</v>
      </c>
      <c r="C121" s="585">
        <v>2.2999999999999998</v>
      </c>
    </row>
    <row r="122" spans="1:3" x14ac:dyDescent="0.25">
      <c r="A122" t="s">
        <v>5294</v>
      </c>
      <c r="B122" s="585">
        <v>11.4</v>
      </c>
      <c r="C122" s="585">
        <v>2.2999999999999998</v>
      </c>
    </row>
    <row r="123" spans="1:3" x14ac:dyDescent="0.25">
      <c r="A123" t="s">
        <v>5295</v>
      </c>
      <c r="B123" s="585">
        <v>11.4</v>
      </c>
      <c r="C123" s="585">
        <v>2.2999999999999998</v>
      </c>
    </row>
    <row r="124" spans="1:3" x14ac:dyDescent="0.25">
      <c r="A124" t="s">
        <v>5296</v>
      </c>
      <c r="B124" s="585">
        <v>11.4</v>
      </c>
      <c r="C124" s="585">
        <v>2.2999999999999998</v>
      </c>
    </row>
    <row r="125" spans="1:3" x14ac:dyDescent="0.25">
      <c r="A125" t="s">
        <v>5297</v>
      </c>
      <c r="B125" s="585">
        <v>11.4</v>
      </c>
      <c r="C125" s="585">
        <v>2.2999999999999998</v>
      </c>
    </row>
    <row r="126" spans="1:3" x14ac:dyDescent="0.25">
      <c r="A126" t="s">
        <v>5298</v>
      </c>
      <c r="B126" s="585">
        <v>11.4</v>
      </c>
      <c r="C126" s="585">
        <v>2.2999999999999998</v>
      </c>
    </row>
    <row r="127" spans="1:3" x14ac:dyDescent="0.25">
      <c r="A127" t="s">
        <v>5299</v>
      </c>
      <c r="B127" s="585">
        <v>11.4</v>
      </c>
      <c r="C127" s="585">
        <v>2.2999999999999998</v>
      </c>
    </row>
    <row r="128" spans="1:3" x14ac:dyDescent="0.25">
      <c r="A128" t="s">
        <v>5300</v>
      </c>
      <c r="B128" s="585">
        <v>11.4</v>
      </c>
      <c r="C128" s="585">
        <v>2.2999999999999998</v>
      </c>
    </row>
    <row r="129" spans="1:3" x14ac:dyDescent="0.25">
      <c r="A129" t="s">
        <v>5301</v>
      </c>
      <c r="B129" s="585">
        <v>11.4</v>
      </c>
      <c r="C129" s="585">
        <v>2.2999999999999998</v>
      </c>
    </row>
    <row r="130" spans="1:3" x14ac:dyDescent="0.25">
      <c r="A130" t="s">
        <v>5302</v>
      </c>
      <c r="B130" s="585">
        <v>11.4</v>
      </c>
      <c r="C130" s="585">
        <v>2.2999999999999998</v>
      </c>
    </row>
    <row r="131" spans="1:3" x14ac:dyDescent="0.25">
      <c r="A131" t="s">
        <v>5303</v>
      </c>
      <c r="B131" s="585">
        <v>11.4</v>
      </c>
      <c r="C131" s="585">
        <v>2.2999999999999998</v>
      </c>
    </row>
    <row r="132" spans="1:3" x14ac:dyDescent="0.25">
      <c r="A132" t="s">
        <v>5304</v>
      </c>
      <c r="B132" s="585">
        <v>11.416666666666666</v>
      </c>
      <c r="C132" s="585">
        <v>2.2999999999999998</v>
      </c>
    </row>
    <row r="133" spans="1:3" x14ac:dyDescent="0.25">
      <c r="A133" t="s">
        <v>5305</v>
      </c>
      <c r="B133" s="585">
        <v>11.416666666666666</v>
      </c>
      <c r="C133" s="585">
        <v>2.2999999999999998</v>
      </c>
    </row>
    <row r="134" spans="1:3" x14ac:dyDescent="0.25">
      <c r="A134" t="s">
        <v>5306</v>
      </c>
      <c r="B134" s="585">
        <v>11.4</v>
      </c>
      <c r="C134" s="585">
        <v>2.2999999999999998</v>
      </c>
    </row>
    <row r="135" spans="1:3" x14ac:dyDescent="0.25">
      <c r="A135" t="s">
        <v>5307</v>
      </c>
      <c r="B135" s="585">
        <v>11.4</v>
      </c>
      <c r="C135" s="585">
        <v>2.2999999999999998</v>
      </c>
    </row>
    <row r="136" spans="1:3" x14ac:dyDescent="0.25">
      <c r="A136" t="s">
        <v>5308</v>
      </c>
      <c r="B136" s="585">
        <v>11.4</v>
      </c>
      <c r="C136" s="585">
        <v>2.2999999999999998</v>
      </c>
    </row>
    <row r="137" spans="1:3" x14ac:dyDescent="0.25">
      <c r="A137" t="s">
        <v>5309</v>
      </c>
      <c r="B137" s="585">
        <v>11.4</v>
      </c>
      <c r="C137" s="585">
        <v>2.2999999999999998</v>
      </c>
    </row>
    <row r="138" spans="1:3" x14ac:dyDescent="0.25">
      <c r="A138" t="s">
        <v>5310</v>
      </c>
      <c r="B138" s="585">
        <v>11.4</v>
      </c>
      <c r="C138" s="585">
        <v>2.2999999999999998</v>
      </c>
    </row>
    <row r="139" spans="1:3" x14ac:dyDescent="0.25">
      <c r="A139" t="s">
        <v>5311</v>
      </c>
      <c r="B139" s="585">
        <v>11.4</v>
      </c>
      <c r="C139" s="585">
        <v>2.2999999999999998</v>
      </c>
    </row>
    <row r="140" spans="1:3" x14ac:dyDescent="0.25">
      <c r="A140" t="s">
        <v>5312</v>
      </c>
      <c r="B140" s="585">
        <v>11.4</v>
      </c>
      <c r="C140" s="585">
        <v>2.2999999999999998</v>
      </c>
    </row>
    <row r="141" spans="1:3" x14ac:dyDescent="0.25">
      <c r="A141" t="s">
        <v>5313</v>
      </c>
      <c r="B141" s="585">
        <v>11.4</v>
      </c>
      <c r="C141" s="585">
        <v>2.2999999999999998</v>
      </c>
    </row>
    <row r="142" spans="1:3" x14ac:dyDescent="0.25">
      <c r="A142" t="s">
        <v>5314</v>
      </c>
      <c r="B142" s="585">
        <v>11.4</v>
      </c>
      <c r="C142" s="585">
        <v>2.2999999999999998</v>
      </c>
    </row>
    <row r="143" spans="1:3" x14ac:dyDescent="0.25">
      <c r="A143" t="s">
        <v>5315</v>
      </c>
      <c r="B143" s="585">
        <v>11.416666666666666</v>
      </c>
      <c r="C143" s="585">
        <v>2.2999999999999998</v>
      </c>
    </row>
    <row r="144" spans="1:3" x14ac:dyDescent="0.25">
      <c r="A144" t="s">
        <v>5316</v>
      </c>
      <c r="B144" s="585">
        <v>11.4</v>
      </c>
      <c r="C144" s="585">
        <v>2.2999999999999998</v>
      </c>
    </row>
    <row r="145" spans="1:3" x14ac:dyDescent="0.25">
      <c r="A145" t="s">
        <v>5317</v>
      </c>
      <c r="B145" s="585">
        <v>11.4</v>
      </c>
      <c r="C145" s="585">
        <v>2.2999999999999998</v>
      </c>
    </row>
    <row r="146" spans="1:3" x14ac:dyDescent="0.25">
      <c r="A146" t="s">
        <v>5318</v>
      </c>
      <c r="B146" s="585">
        <v>11.4</v>
      </c>
      <c r="C146" s="585">
        <v>2.2999999999999998</v>
      </c>
    </row>
    <row r="147" spans="1:3" x14ac:dyDescent="0.25">
      <c r="A147" t="s">
        <v>5319</v>
      </c>
      <c r="B147" s="585">
        <v>11.4</v>
      </c>
      <c r="C147" s="585">
        <v>2.2999999999999998</v>
      </c>
    </row>
    <row r="148" spans="1:3" x14ac:dyDescent="0.25">
      <c r="A148" t="s">
        <v>5320</v>
      </c>
      <c r="B148" s="585">
        <v>11.4</v>
      </c>
      <c r="C148" s="585">
        <v>2.2999999999999998</v>
      </c>
    </row>
    <row r="149" spans="1:3" x14ac:dyDescent="0.25">
      <c r="A149" t="s">
        <v>5321</v>
      </c>
      <c r="B149" s="585">
        <v>11.4</v>
      </c>
      <c r="C149" s="585">
        <v>2.2999999999999998</v>
      </c>
    </row>
    <row r="150" spans="1:3" x14ac:dyDescent="0.25">
      <c r="A150" t="s">
        <v>5322</v>
      </c>
      <c r="B150" s="585">
        <v>11.4</v>
      </c>
      <c r="C150" s="585">
        <v>2.2999999999999998</v>
      </c>
    </row>
    <row r="151" spans="1:3" x14ac:dyDescent="0.25">
      <c r="A151" t="s">
        <v>5323</v>
      </c>
      <c r="B151" s="585">
        <v>11.4</v>
      </c>
      <c r="C151" s="585">
        <v>2.2999999999999998</v>
      </c>
    </row>
    <row r="152" spans="1:3" x14ac:dyDescent="0.25">
      <c r="A152" t="s">
        <v>5324</v>
      </c>
      <c r="B152" s="585">
        <v>11.4</v>
      </c>
      <c r="C152" s="585">
        <v>2.2999999999999998</v>
      </c>
    </row>
    <row r="153" spans="1:3" x14ac:dyDescent="0.25">
      <c r="A153" t="s">
        <v>5325</v>
      </c>
      <c r="B153" s="585">
        <v>11.4</v>
      </c>
      <c r="C153" s="585">
        <v>2.2999999999999998</v>
      </c>
    </row>
    <row r="154" spans="1:3" x14ac:dyDescent="0.25">
      <c r="A154" t="s">
        <v>5326</v>
      </c>
      <c r="B154" s="585">
        <v>11.4</v>
      </c>
      <c r="C154" s="585">
        <v>2.2999999999999998</v>
      </c>
    </row>
    <row r="155" spans="1:3" x14ac:dyDescent="0.25">
      <c r="A155" t="s">
        <v>5327</v>
      </c>
      <c r="B155" s="585">
        <v>11.4</v>
      </c>
      <c r="C155" s="585">
        <v>2.2999999999999998</v>
      </c>
    </row>
    <row r="156" spans="1:3" x14ac:dyDescent="0.25">
      <c r="A156" t="s">
        <v>5328</v>
      </c>
      <c r="B156" s="585">
        <v>11.4</v>
      </c>
      <c r="C156" s="585">
        <v>2.2999999999999998</v>
      </c>
    </row>
    <row r="157" spans="1:3" x14ac:dyDescent="0.25">
      <c r="A157" t="s">
        <v>5329</v>
      </c>
      <c r="B157" s="585">
        <v>11.4</v>
      </c>
      <c r="C157" s="585">
        <v>2.2999999999999998</v>
      </c>
    </row>
    <row r="158" spans="1:3" x14ac:dyDescent="0.25">
      <c r="A158" t="s">
        <v>5330</v>
      </c>
      <c r="B158" s="585">
        <v>11.4</v>
      </c>
      <c r="C158" s="585">
        <v>2.2999999999999998</v>
      </c>
    </row>
    <row r="159" spans="1:3" x14ac:dyDescent="0.25">
      <c r="A159" t="s">
        <v>5331</v>
      </c>
      <c r="B159" s="585">
        <v>11.4</v>
      </c>
      <c r="C159" s="585">
        <v>2.2999999999999998</v>
      </c>
    </row>
    <row r="160" spans="1:3" x14ac:dyDescent="0.25">
      <c r="A160" t="s">
        <v>5332</v>
      </c>
      <c r="B160" s="585">
        <v>11.416666666666666</v>
      </c>
      <c r="C160" s="585">
        <v>2.2999999999999998</v>
      </c>
    </row>
    <row r="161" spans="1:3" x14ac:dyDescent="0.25">
      <c r="A161" t="s">
        <v>5333</v>
      </c>
      <c r="B161" s="585">
        <v>11.4</v>
      </c>
      <c r="C161" s="585">
        <v>2.2999999999999998</v>
      </c>
    </row>
    <row r="162" spans="1:3" x14ac:dyDescent="0.25">
      <c r="A162" t="s">
        <v>5334</v>
      </c>
      <c r="B162" s="585">
        <v>11.4</v>
      </c>
      <c r="C162" s="585">
        <v>2.2999999999999998</v>
      </c>
    </row>
    <row r="163" spans="1:3" x14ac:dyDescent="0.25">
      <c r="A163" t="s">
        <v>5335</v>
      </c>
      <c r="B163" s="585">
        <v>11.4</v>
      </c>
      <c r="C163" s="585">
        <v>2.2999999999999998</v>
      </c>
    </row>
    <row r="164" spans="1:3" x14ac:dyDescent="0.25">
      <c r="A164" t="s">
        <v>5336</v>
      </c>
      <c r="B164" s="585">
        <v>11.4</v>
      </c>
      <c r="C164" s="585">
        <v>2.2999999999999998</v>
      </c>
    </row>
    <row r="165" spans="1:3" x14ac:dyDescent="0.25">
      <c r="A165" t="s">
        <v>5337</v>
      </c>
      <c r="B165" s="585">
        <v>11.4</v>
      </c>
      <c r="C165" s="585">
        <v>2.2999999999999998</v>
      </c>
    </row>
    <row r="166" spans="1:3" x14ac:dyDescent="0.25">
      <c r="A166" t="s">
        <v>5338</v>
      </c>
      <c r="B166" s="585">
        <v>11.4</v>
      </c>
      <c r="C166" s="585">
        <v>2.2999999999999998</v>
      </c>
    </row>
    <row r="167" spans="1:3" x14ac:dyDescent="0.25">
      <c r="A167" t="s">
        <v>5339</v>
      </c>
      <c r="B167" s="585">
        <v>11.4</v>
      </c>
      <c r="C167" s="585">
        <v>2.2999999999999998</v>
      </c>
    </row>
    <row r="168" spans="1:3" x14ac:dyDescent="0.25">
      <c r="A168" t="s">
        <v>5340</v>
      </c>
      <c r="B168" s="585">
        <v>11.4</v>
      </c>
      <c r="C168" s="585">
        <v>2.2999999999999998</v>
      </c>
    </row>
    <row r="169" spans="1:3" x14ac:dyDescent="0.25">
      <c r="A169" t="s">
        <v>5341</v>
      </c>
      <c r="B169" s="585">
        <v>11.416666666666666</v>
      </c>
      <c r="C169" s="585">
        <v>2.2999999999999998</v>
      </c>
    </row>
    <row r="170" spans="1:3" x14ac:dyDescent="0.25">
      <c r="A170" t="s">
        <v>5342</v>
      </c>
      <c r="B170" s="585">
        <v>11.4</v>
      </c>
      <c r="C170" s="585">
        <v>2.2999999999999998</v>
      </c>
    </row>
    <row r="171" spans="1:3" x14ac:dyDescent="0.25">
      <c r="A171" t="s">
        <v>5343</v>
      </c>
      <c r="B171" s="585">
        <v>11.416666666666666</v>
      </c>
      <c r="C171" s="585">
        <v>2.2999999999999998</v>
      </c>
    </row>
    <row r="172" spans="1:3" x14ac:dyDescent="0.25">
      <c r="A172" t="s">
        <v>5344</v>
      </c>
      <c r="B172" s="585">
        <v>11.4</v>
      </c>
      <c r="C172" s="585">
        <v>2.2999999999999998</v>
      </c>
    </row>
    <row r="173" spans="1:3" x14ac:dyDescent="0.25">
      <c r="A173" t="s">
        <v>5345</v>
      </c>
      <c r="B173" s="585">
        <v>11.4</v>
      </c>
      <c r="C173" s="585">
        <v>2.2999999999999998</v>
      </c>
    </row>
    <row r="174" spans="1:3" x14ac:dyDescent="0.25">
      <c r="A174" t="s">
        <v>5346</v>
      </c>
      <c r="B174" s="585">
        <v>11.4</v>
      </c>
      <c r="C174" s="585">
        <v>2.2999999999999998</v>
      </c>
    </row>
    <row r="175" spans="1:3" x14ac:dyDescent="0.25">
      <c r="A175" t="s">
        <v>5347</v>
      </c>
      <c r="B175" s="585">
        <v>11.4</v>
      </c>
      <c r="C175" s="585">
        <v>2.2999999999999998</v>
      </c>
    </row>
    <row r="176" spans="1:3" x14ac:dyDescent="0.25">
      <c r="A176" t="s">
        <v>5348</v>
      </c>
      <c r="B176" s="585">
        <v>11.4</v>
      </c>
      <c r="C176" s="585">
        <v>2.2999999999999998</v>
      </c>
    </row>
    <row r="177" spans="1:3" x14ac:dyDescent="0.25">
      <c r="A177" t="s">
        <v>5349</v>
      </c>
      <c r="B177" s="585">
        <v>11.4</v>
      </c>
      <c r="C177" s="585">
        <v>2.2999999999999998</v>
      </c>
    </row>
    <row r="178" spans="1:3" x14ac:dyDescent="0.25">
      <c r="A178" t="s">
        <v>5350</v>
      </c>
      <c r="B178" s="585">
        <v>11.4</v>
      </c>
      <c r="C178" s="585">
        <v>2.2999999999999998</v>
      </c>
    </row>
    <row r="179" spans="1:3" x14ac:dyDescent="0.25">
      <c r="A179" t="s">
        <v>5351</v>
      </c>
      <c r="B179" s="585">
        <v>11.4</v>
      </c>
      <c r="C179" s="585">
        <v>2.2999999999999998</v>
      </c>
    </row>
    <row r="180" spans="1:3" x14ac:dyDescent="0.25">
      <c r="A180" t="s">
        <v>5352</v>
      </c>
      <c r="B180" s="585">
        <v>11.4</v>
      </c>
      <c r="C180" s="585">
        <v>2.2999999999999998</v>
      </c>
    </row>
    <row r="181" spans="1:3" x14ac:dyDescent="0.25">
      <c r="A181" t="s">
        <v>5353</v>
      </c>
      <c r="B181" s="585">
        <v>11.4</v>
      </c>
      <c r="C181" s="585">
        <v>2.2999999999999998</v>
      </c>
    </row>
    <row r="182" spans="1:3" x14ac:dyDescent="0.25">
      <c r="A182" t="s">
        <v>5354</v>
      </c>
      <c r="B182" s="585">
        <v>11.416666666666666</v>
      </c>
      <c r="C182" s="585">
        <v>2.2999999999999998</v>
      </c>
    </row>
    <row r="183" spans="1:3" x14ac:dyDescent="0.25">
      <c r="A183" t="s">
        <v>5355</v>
      </c>
      <c r="B183" s="585">
        <v>11.4</v>
      </c>
      <c r="C183" s="585">
        <v>2.2999999999999998</v>
      </c>
    </row>
    <row r="184" spans="1:3" x14ac:dyDescent="0.25">
      <c r="A184" t="s">
        <v>5356</v>
      </c>
      <c r="B184" s="585">
        <v>11.4</v>
      </c>
      <c r="C184" s="585">
        <v>2.2999999999999998</v>
      </c>
    </row>
    <row r="185" spans="1:3" x14ac:dyDescent="0.25">
      <c r="A185" t="s">
        <v>5357</v>
      </c>
      <c r="B185" s="585">
        <v>11.4</v>
      </c>
      <c r="C185" s="585">
        <v>2.2999999999999998</v>
      </c>
    </row>
    <row r="186" spans="1:3" x14ac:dyDescent="0.25">
      <c r="A186" t="s">
        <v>5358</v>
      </c>
      <c r="B186" s="585">
        <v>11.4</v>
      </c>
      <c r="C186" s="585">
        <v>2.2999999999999998</v>
      </c>
    </row>
    <row r="187" spans="1:3" x14ac:dyDescent="0.25">
      <c r="A187" t="s">
        <v>5359</v>
      </c>
      <c r="B187" s="585">
        <v>11.4</v>
      </c>
      <c r="C187" s="585">
        <v>2.2999999999999998</v>
      </c>
    </row>
    <row r="188" spans="1:3" x14ac:dyDescent="0.25">
      <c r="A188" t="s">
        <v>5360</v>
      </c>
      <c r="B188" s="585">
        <v>11.4</v>
      </c>
      <c r="C188" s="585">
        <v>2.2999999999999998</v>
      </c>
    </row>
    <row r="189" spans="1:3" x14ac:dyDescent="0.25">
      <c r="A189" t="s">
        <v>5361</v>
      </c>
      <c r="B189" s="585">
        <v>11.4</v>
      </c>
      <c r="C189" s="585">
        <v>2.2999999999999998</v>
      </c>
    </row>
    <row r="190" spans="1:3" x14ac:dyDescent="0.25">
      <c r="A190" t="s">
        <v>5362</v>
      </c>
      <c r="B190" s="585">
        <v>11.4</v>
      </c>
      <c r="C190" s="585">
        <v>2.2999999999999998</v>
      </c>
    </row>
    <row r="191" spans="1:3" x14ac:dyDescent="0.25">
      <c r="A191" t="s">
        <v>5363</v>
      </c>
      <c r="B191" s="585">
        <v>11.4</v>
      </c>
      <c r="C191" s="585">
        <v>2.2999999999999998</v>
      </c>
    </row>
    <row r="192" spans="1:3" x14ac:dyDescent="0.25">
      <c r="A192" t="s">
        <v>5364</v>
      </c>
      <c r="B192" s="585">
        <v>11.4</v>
      </c>
      <c r="C192" s="585">
        <v>2.2999999999999998</v>
      </c>
    </row>
    <row r="193" spans="1:3" x14ac:dyDescent="0.25">
      <c r="A193" t="s">
        <v>5365</v>
      </c>
      <c r="B193" s="585">
        <v>11.4</v>
      </c>
      <c r="C193" s="585">
        <v>2.2999999999999998</v>
      </c>
    </row>
    <row r="194" spans="1:3" x14ac:dyDescent="0.25">
      <c r="A194" t="s">
        <v>5366</v>
      </c>
      <c r="B194" s="585">
        <v>11.4</v>
      </c>
      <c r="C194" s="585">
        <v>2.2999999999999998</v>
      </c>
    </row>
    <row r="195" spans="1:3" x14ac:dyDescent="0.25">
      <c r="A195" t="s">
        <v>5367</v>
      </c>
      <c r="B195" s="585">
        <v>11.4</v>
      </c>
      <c r="C195" s="585">
        <v>2.2999999999999998</v>
      </c>
    </row>
    <row r="196" spans="1:3" x14ac:dyDescent="0.25">
      <c r="A196" t="s">
        <v>5368</v>
      </c>
      <c r="B196" s="585">
        <v>11.4</v>
      </c>
      <c r="C196" s="585">
        <v>2.2999999999999998</v>
      </c>
    </row>
    <row r="197" spans="1:3" x14ac:dyDescent="0.25">
      <c r="A197" t="s">
        <v>5369</v>
      </c>
      <c r="B197" s="585">
        <v>11.4</v>
      </c>
      <c r="C197" s="585">
        <v>2.2999999999999998</v>
      </c>
    </row>
    <row r="198" spans="1:3" x14ac:dyDescent="0.25">
      <c r="A198" t="s">
        <v>5370</v>
      </c>
      <c r="B198" s="585">
        <v>11.4</v>
      </c>
      <c r="C198" s="585">
        <v>2.2999999999999998</v>
      </c>
    </row>
    <row r="199" spans="1:3" x14ac:dyDescent="0.25">
      <c r="A199" t="s">
        <v>5371</v>
      </c>
      <c r="B199" s="585">
        <v>11.4</v>
      </c>
      <c r="C199" s="585">
        <v>2.2999999999999998</v>
      </c>
    </row>
    <row r="200" spans="1:3" x14ac:dyDescent="0.25">
      <c r="A200" t="s">
        <v>5372</v>
      </c>
      <c r="B200" s="585">
        <v>11.4</v>
      </c>
      <c r="C200" s="585">
        <v>2.2999999999999998</v>
      </c>
    </row>
    <row r="201" spans="1:3" x14ac:dyDescent="0.25">
      <c r="A201" t="s">
        <v>5373</v>
      </c>
      <c r="B201" s="585">
        <v>11.4</v>
      </c>
      <c r="C201" s="585">
        <v>2.2999999999999998</v>
      </c>
    </row>
    <row r="202" spans="1:3" x14ac:dyDescent="0.25">
      <c r="A202" t="s">
        <v>5374</v>
      </c>
      <c r="B202" s="585">
        <v>11.4</v>
      </c>
      <c r="C202" s="585">
        <v>2.2999999999999998</v>
      </c>
    </row>
    <row r="203" spans="1:3" x14ac:dyDescent="0.25">
      <c r="A203" t="s">
        <v>5375</v>
      </c>
      <c r="B203" s="585">
        <v>11.4</v>
      </c>
      <c r="C203" s="585">
        <v>2.2999999999999998</v>
      </c>
    </row>
    <row r="204" spans="1:3" x14ac:dyDescent="0.25">
      <c r="A204" t="s">
        <v>5376</v>
      </c>
      <c r="B204" s="585">
        <v>11.4</v>
      </c>
      <c r="C204" s="585">
        <v>2.2999999999999998</v>
      </c>
    </row>
    <row r="205" spans="1:3" x14ac:dyDescent="0.25">
      <c r="A205" t="s">
        <v>5377</v>
      </c>
      <c r="B205" s="585">
        <v>11.4</v>
      </c>
      <c r="C205" s="585">
        <v>2.2999999999999998</v>
      </c>
    </row>
    <row r="206" spans="1:3" x14ac:dyDescent="0.25">
      <c r="A206" t="s">
        <v>5378</v>
      </c>
      <c r="B206" s="585">
        <v>11.4</v>
      </c>
      <c r="C206" s="585">
        <v>2.2999999999999998</v>
      </c>
    </row>
    <row r="207" spans="1:3" x14ac:dyDescent="0.25">
      <c r="A207" t="s">
        <v>5379</v>
      </c>
      <c r="B207" s="585">
        <v>11.4</v>
      </c>
      <c r="C207" s="585">
        <v>2.2999999999999998</v>
      </c>
    </row>
    <row r="208" spans="1:3" x14ac:dyDescent="0.25">
      <c r="A208" t="s">
        <v>5380</v>
      </c>
      <c r="B208" s="585">
        <v>11.4</v>
      </c>
      <c r="C208" s="585">
        <v>2.2999999999999998</v>
      </c>
    </row>
    <row r="209" spans="1:3" x14ac:dyDescent="0.25">
      <c r="A209" t="s">
        <v>5381</v>
      </c>
      <c r="B209" s="585">
        <v>11.4</v>
      </c>
      <c r="C209" s="585">
        <v>2.2999999999999998</v>
      </c>
    </row>
    <row r="210" spans="1:3" x14ac:dyDescent="0.25">
      <c r="A210" t="s">
        <v>5382</v>
      </c>
      <c r="B210" s="585">
        <v>11.4</v>
      </c>
      <c r="C210" s="585">
        <v>2.2999999999999998</v>
      </c>
    </row>
    <row r="211" spans="1:3" x14ac:dyDescent="0.25">
      <c r="A211" t="s">
        <v>5383</v>
      </c>
      <c r="B211" s="585">
        <v>11.4</v>
      </c>
      <c r="C211" s="585">
        <v>2.2999999999999998</v>
      </c>
    </row>
    <row r="212" spans="1:3" x14ac:dyDescent="0.25">
      <c r="A212" t="s">
        <v>5384</v>
      </c>
      <c r="B212" s="585">
        <v>11.4</v>
      </c>
      <c r="C212" s="585">
        <v>2.2999999999999998</v>
      </c>
    </row>
    <row r="213" spans="1:3" x14ac:dyDescent="0.25">
      <c r="A213" t="s">
        <v>5385</v>
      </c>
      <c r="B213" s="585">
        <v>11.4</v>
      </c>
      <c r="C213" s="585">
        <v>2.2999999999999998</v>
      </c>
    </row>
    <row r="214" spans="1:3" x14ac:dyDescent="0.25">
      <c r="A214" t="s">
        <v>5386</v>
      </c>
      <c r="B214" s="585">
        <v>11.4</v>
      </c>
      <c r="C214" s="585">
        <v>2.2999999999999998</v>
      </c>
    </row>
    <row r="215" spans="1:3" x14ac:dyDescent="0.25">
      <c r="A215" t="s">
        <v>5387</v>
      </c>
      <c r="B215" s="585">
        <v>11.4</v>
      </c>
      <c r="C215" s="585">
        <v>2.2999999999999998</v>
      </c>
    </row>
    <row r="216" spans="1:3" x14ac:dyDescent="0.25">
      <c r="A216" t="s">
        <v>5388</v>
      </c>
      <c r="B216" s="585">
        <v>11.4</v>
      </c>
      <c r="C216" s="585">
        <v>2.2999999999999998</v>
      </c>
    </row>
    <row r="217" spans="1:3" x14ac:dyDescent="0.25">
      <c r="A217" t="s">
        <v>5389</v>
      </c>
      <c r="B217" s="585">
        <v>11.4</v>
      </c>
      <c r="C217" s="585">
        <v>2.2999999999999998</v>
      </c>
    </row>
    <row r="218" spans="1:3" x14ac:dyDescent="0.25">
      <c r="A218" t="s">
        <v>5390</v>
      </c>
      <c r="B218" s="585">
        <v>11.4</v>
      </c>
      <c r="C218" s="585">
        <v>2.2999999999999998</v>
      </c>
    </row>
    <row r="219" spans="1:3" x14ac:dyDescent="0.25">
      <c r="A219" t="s">
        <v>5391</v>
      </c>
      <c r="B219" s="585">
        <v>11.4</v>
      </c>
      <c r="C219" s="585">
        <v>2.2999999999999998</v>
      </c>
    </row>
    <row r="220" spans="1:3" x14ac:dyDescent="0.25">
      <c r="A220" t="s">
        <v>5392</v>
      </c>
      <c r="B220" s="585">
        <v>11.4</v>
      </c>
      <c r="C220" s="585">
        <v>2.2999999999999998</v>
      </c>
    </row>
    <row r="221" spans="1:3" x14ac:dyDescent="0.25">
      <c r="A221" t="s">
        <v>5393</v>
      </c>
      <c r="B221" s="585">
        <v>11.4</v>
      </c>
      <c r="C221" s="585">
        <v>2.2999999999999998</v>
      </c>
    </row>
    <row r="222" spans="1:3" x14ac:dyDescent="0.25">
      <c r="A222" t="s">
        <v>5394</v>
      </c>
      <c r="B222" s="585">
        <v>11.4</v>
      </c>
      <c r="C222" s="585">
        <v>2.2999999999999998</v>
      </c>
    </row>
    <row r="223" spans="1:3" x14ac:dyDescent="0.25">
      <c r="A223" t="s">
        <v>5395</v>
      </c>
      <c r="B223" s="585">
        <v>11.4</v>
      </c>
      <c r="C223" s="585">
        <v>2.2999999999999998</v>
      </c>
    </row>
    <row r="224" spans="1:3" x14ac:dyDescent="0.25">
      <c r="A224" t="s">
        <v>5396</v>
      </c>
      <c r="B224" s="585">
        <v>11.4</v>
      </c>
      <c r="C224" s="585">
        <v>2.2999999999999998</v>
      </c>
    </row>
    <row r="225" spans="1:3" x14ac:dyDescent="0.25">
      <c r="A225" t="s">
        <v>5397</v>
      </c>
      <c r="B225" s="585">
        <v>11.4</v>
      </c>
      <c r="C225" s="585">
        <v>2.2999999999999998</v>
      </c>
    </row>
    <row r="226" spans="1:3" x14ac:dyDescent="0.25">
      <c r="A226" t="s">
        <v>5398</v>
      </c>
      <c r="B226" s="585">
        <v>11.4</v>
      </c>
      <c r="C226" s="585">
        <v>2.2999999999999998</v>
      </c>
    </row>
    <row r="227" spans="1:3" x14ac:dyDescent="0.25">
      <c r="A227" t="s">
        <v>5399</v>
      </c>
      <c r="B227" s="585">
        <v>11.4</v>
      </c>
      <c r="C227" s="585">
        <v>2.2999999999999998</v>
      </c>
    </row>
    <row r="228" spans="1:3" x14ac:dyDescent="0.25">
      <c r="A228" t="s">
        <v>5400</v>
      </c>
      <c r="B228" s="585">
        <v>11.4</v>
      </c>
      <c r="C228" s="585">
        <v>2.2999999999999998</v>
      </c>
    </row>
    <row r="229" spans="1:3" x14ac:dyDescent="0.25">
      <c r="A229" t="s">
        <v>5401</v>
      </c>
      <c r="B229" s="585">
        <v>11.4</v>
      </c>
      <c r="C229" s="585">
        <v>2.2999999999999998</v>
      </c>
    </row>
    <row r="230" spans="1:3" x14ac:dyDescent="0.25">
      <c r="A230" t="s">
        <v>5402</v>
      </c>
      <c r="B230" s="585">
        <v>11.4</v>
      </c>
      <c r="C230" s="585">
        <v>2.2999999999999998</v>
      </c>
    </row>
    <row r="231" spans="1:3" x14ac:dyDescent="0.25">
      <c r="A231" t="s">
        <v>5403</v>
      </c>
      <c r="B231" s="585">
        <v>11.416666666666666</v>
      </c>
      <c r="C231" s="585">
        <v>2.2999999999999998</v>
      </c>
    </row>
    <row r="232" spans="1:3" x14ac:dyDescent="0.25">
      <c r="A232" t="s">
        <v>5404</v>
      </c>
      <c r="B232" s="585">
        <v>11.4</v>
      </c>
      <c r="C232" s="585">
        <v>2.2999999999999998</v>
      </c>
    </row>
    <row r="233" spans="1:3" x14ac:dyDescent="0.25">
      <c r="A233" t="s">
        <v>5405</v>
      </c>
      <c r="B233" s="585">
        <v>11.4</v>
      </c>
      <c r="C233" s="585">
        <v>2.2999999999999998</v>
      </c>
    </row>
    <row r="234" spans="1:3" x14ac:dyDescent="0.25">
      <c r="A234" t="s">
        <v>5406</v>
      </c>
      <c r="B234" s="585">
        <v>11.4</v>
      </c>
      <c r="C234" s="585">
        <v>2.2999999999999998</v>
      </c>
    </row>
    <row r="235" spans="1:3" x14ac:dyDescent="0.25">
      <c r="A235" t="s">
        <v>5407</v>
      </c>
      <c r="B235" s="585">
        <v>11.4</v>
      </c>
      <c r="C235" s="585">
        <v>2.2999999999999998</v>
      </c>
    </row>
    <row r="236" spans="1:3" x14ac:dyDescent="0.25">
      <c r="A236" t="s">
        <v>5408</v>
      </c>
      <c r="B236" s="585">
        <v>11.416666666666666</v>
      </c>
      <c r="C236" s="585">
        <v>2.2999999999999998</v>
      </c>
    </row>
    <row r="237" spans="1:3" x14ac:dyDescent="0.25">
      <c r="A237" t="s">
        <v>5409</v>
      </c>
      <c r="B237" s="585">
        <v>11.416666666666666</v>
      </c>
      <c r="C237" s="585">
        <v>2.2999999999999998</v>
      </c>
    </row>
    <row r="238" spans="1:3" x14ac:dyDescent="0.25">
      <c r="A238" t="s">
        <v>5410</v>
      </c>
      <c r="B238" s="585">
        <v>11.4</v>
      </c>
      <c r="C238" s="585">
        <v>2.2999999999999998</v>
      </c>
    </row>
    <row r="239" spans="1:3" x14ac:dyDescent="0.25">
      <c r="A239" t="s">
        <v>5411</v>
      </c>
      <c r="B239" s="585">
        <v>11.416666666666666</v>
      </c>
      <c r="C239" s="585">
        <v>2.2999999999999998</v>
      </c>
    </row>
    <row r="240" spans="1:3" x14ac:dyDescent="0.25">
      <c r="A240" t="s">
        <v>5412</v>
      </c>
      <c r="B240" s="585">
        <v>11.4</v>
      </c>
      <c r="C240" s="585">
        <v>2.2999999999999998</v>
      </c>
    </row>
    <row r="241" spans="1:3" x14ac:dyDescent="0.25">
      <c r="A241" t="s">
        <v>5413</v>
      </c>
      <c r="B241" s="585">
        <v>11.4</v>
      </c>
      <c r="C241" s="585">
        <v>2.2999999999999998</v>
      </c>
    </row>
    <row r="242" spans="1:3" x14ac:dyDescent="0.25">
      <c r="A242" t="s">
        <v>5414</v>
      </c>
      <c r="B242" s="585">
        <v>11.4</v>
      </c>
      <c r="C242" s="585">
        <v>2.2999999999999998</v>
      </c>
    </row>
    <row r="243" spans="1:3" x14ac:dyDescent="0.25">
      <c r="A243" t="s">
        <v>5415</v>
      </c>
      <c r="B243" s="585">
        <v>11.4</v>
      </c>
      <c r="C243" s="585">
        <v>2.2999999999999998</v>
      </c>
    </row>
    <row r="244" spans="1:3" x14ac:dyDescent="0.25">
      <c r="A244" t="s">
        <v>5416</v>
      </c>
      <c r="B244" s="585">
        <v>11.416666666666666</v>
      </c>
      <c r="C244" s="585">
        <v>2.2999999999999998</v>
      </c>
    </row>
    <row r="245" spans="1:3" x14ac:dyDescent="0.25">
      <c r="A245" t="s">
        <v>5417</v>
      </c>
      <c r="B245" s="585">
        <v>11.4</v>
      </c>
      <c r="C245" s="585">
        <v>2.2999999999999998</v>
      </c>
    </row>
    <row r="246" spans="1:3" x14ac:dyDescent="0.25">
      <c r="A246" t="s">
        <v>5418</v>
      </c>
      <c r="B246" s="585">
        <v>11.4</v>
      </c>
      <c r="C246" s="585">
        <v>2.2999999999999998</v>
      </c>
    </row>
    <row r="247" spans="1:3" x14ac:dyDescent="0.25">
      <c r="A247" t="s">
        <v>5419</v>
      </c>
      <c r="B247" s="585">
        <v>11.4</v>
      </c>
      <c r="C247" s="585">
        <v>2.2999999999999998</v>
      </c>
    </row>
    <row r="248" spans="1:3" x14ac:dyDescent="0.25">
      <c r="A248" t="s">
        <v>5420</v>
      </c>
      <c r="B248" s="585">
        <v>11.4</v>
      </c>
      <c r="C248" s="585">
        <v>2.2999999999999998</v>
      </c>
    </row>
    <row r="249" spans="1:3" x14ac:dyDescent="0.25">
      <c r="A249" t="s">
        <v>5421</v>
      </c>
      <c r="B249" s="585">
        <v>11.4</v>
      </c>
      <c r="C249" s="585">
        <v>2.2999999999999998</v>
      </c>
    </row>
    <row r="250" spans="1:3" x14ac:dyDescent="0.25">
      <c r="A250" t="s">
        <v>5422</v>
      </c>
      <c r="B250" s="585">
        <v>11.4</v>
      </c>
      <c r="C250" s="585">
        <v>2.2999999999999998</v>
      </c>
    </row>
    <row r="251" spans="1:3" x14ac:dyDescent="0.25">
      <c r="A251" t="s">
        <v>5423</v>
      </c>
      <c r="B251" s="585">
        <v>11.4</v>
      </c>
      <c r="C251" s="585">
        <v>2.2999999999999998</v>
      </c>
    </row>
    <row r="252" spans="1:3" x14ac:dyDescent="0.25">
      <c r="A252" t="s">
        <v>5424</v>
      </c>
      <c r="B252" s="585">
        <v>11.4</v>
      </c>
      <c r="C252" s="585">
        <v>2.2999999999999998</v>
      </c>
    </row>
    <row r="253" spans="1:3" x14ac:dyDescent="0.25">
      <c r="A253" t="s">
        <v>5425</v>
      </c>
      <c r="B253" s="585">
        <v>11.4</v>
      </c>
      <c r="C253" s="585">
        <v>2.2999999999999998</v>
      </c>
    </row>
    <row r="254" spans="1:3" x14ac:dyDescent="0.25">
      <c r="A254" t="s">
        <v>5426</v>
      </c>
      <c r="B254" s="585">
        <v>11.4</v>
      </c>
      <c r="C254" s="585">
        <v>2.2999999999999998</v>
      </c>
    </row>
    <row r="255" spans="1:3" x14ac:dyDescent="0.25">
      <c r="A255" t="s">
        <v>5427</v>
      </c>
      <c r="B255" s="585">
        <v>11.4</v>
      </c>
      <c r="C255" s="585">
        <v>2.2999999999999998</v>
      </c>
    </row>
    <row r="256" spans="1:3" x14ac:dyDescent="0.25">
      <c r="A256" t="s">
        <v>5428</v>
      </c>
      <c r="B256" s="585">
        <v>11.4</v>
      </c>
      <c r="C256" s="585">
        <v>2.2999999999999998</v>
      </c>
    </row>
    <row r="257" spans="1:3" x14ac:dyDescent="0.25">
      <c r="A257" t="s">
        <v>5429</v>
      </c>
      <c r="B257" s="585">
        <v>11.416666666666666</v>
      </c>
      <c r="C257" s="585">
        <v>2.2999999999999998</v>
      </c>
    </row>
    <row r="258" spans="1:3" x14ac:dyDescent="0.25">
      <c r="A258" t="s">
        <v>5430</v>
      </c>
      <c r="B258" s="585">
        <v>11.4</v>
      </c>
      <c r="C258" s="585">
        <v>2.2999999999999998</v>
      </c>
    </row>
    <row r="259" spans="1:3" x14ac:dyDescent="0.25">
      <c r="A259" t="s">
        <v>5431</v>
      </c>
      <c r="B259" s="585">
        <v>11.4</v>
      </c>
      <c r="C259" s="585">
        <v>2.2999999999999998</v>
      </c>
    </row>
    <row r="260" spans="1:3" x14ac:dyDescent="0.25">
      <c r="A260" t="s">
        <v>5432</v>
      </c>
      <c r="B260" s="585">
        <v>11.4</v>
      </c>
      <c r="C260" s="585">
        <v>2.2999999999999998</v>
      </c>
    </row>
    <row r="261" spans="1:3" x14ac:dyDescent="0.25">
      <c r="A261" t="s">
        <v>5433</v>
      </c>
      <c r="B261" s="585">
        <v>11.416666666666666</v>
      </c>
      <c r="C261" s="585">
        <v>2.2999999999999998</v>
      </c>
    </row>
    <row r="262" spans="1:3" x14ac:dyDescent="0.25">
      <c r="A262" t="s">
        <v>5434</v>
      </c>
      <c r="B262" s="585">
        <v>11.4</v>
      </c>
      <c r="C262" s="585">
        <v>2.2999999999999998</v>
      </c>
    </row>
    <row r="263" spans="1:3" x14ac:dyDescent="0.25">
      <c r="A263" t="s">
        <v>5435</v>
      </c>
      <c r="B263" s="585">
        <v>11.416666666666666</v>
      </c>
      <c r="C263" s="585">
        <v>2.2999999999999998</v>
      </c>
    </row>
    <row r="264" spans="1:3" x14ac:dyDescent="0.25">
      <c r="A264" t="s">
        <v>5436</v>
      </c>
      <c r="B264" s="585">
        <v>11.4</v>
      </c>
      <c r="C264" s="585">
        <v>2.2999999999999998</v>
      </c>
    </row>
    <row r="265" spans="1:3" x14ac:dyDescent="0.25">
      <c r="A265" t="s">
        <v>5437</v>
      </c>
      <c r="B265" s="585">
        <v>11.4</v>
      </c>
      <c r="C265" s="585">
        <v>2.2999999999999998</v>
      </c>
    </row>
    <row r="266" spans="1:3" x14ac:dyDescent="0.25">
      <c r="A266" t="s">
        <v>5438</v>
      </c>
      <c r="B266" s="585">
        <v>11.4</v>
      </c>
      <c r="C266" s="585">
        <v>2.2999999999999998</v>
      </c>
    </row>
    <row r="267" spans="1:3" x14ac:dyDescent="0.25">
      <c r="A267" t="s">
        <v>5439</v>
      </c>
      <c r="B267" s="585">
        <v>11.4</v>
      </c>
      <c r="C267" s="585">
        <v>2.2999999999999998</v>
      </c>
    </row>
    <row r="268" spans="1:3" x14ac:dyDescent="0.25">
      <c r="A268" t="s">
        <v>5440</v>
      </c>
      <c r="B268" s="585">
        <v>11.4</v>
      </c>
      <c r="C268" s="585">
        <v>2.2999999999999998</v>
      </c>
    </row>
    <row r="269" spans="1:3" x14ac:dyDescent="0.25">
      <c r="A269" t="s">
        <v>5441</v>
      </c>
      <c r="B269" s="585">
        <v>11.4</v>
      </c>
      <c r="C269" s="585">
        <v>2.2999999999999998</v>
      </c>
    </row>
    <row r="270" spans="1:3" x14ac:dyDescent="0.25">
      <c r="A270" t="s">
        <v>5442</v>
      </c>
      <c r="B270" s="585">
        <v>11.383333333333333</v>
      </c>
      <c r="C270" s="585">
        <v>2.2999999999999998</v>
      </c>
    </row>
    <row r="271" spans="1:3" x14ac:dyDescent="0.25">
      <c r="A271" t="s">
        <v>5443</v>
      </c>
      <c r="B271" s="585">
        <v>11.4</v>
      </c>
      <c r="C271" s="585">
        <v>2.2999999999999998</v>
      </c>
    </row>
    <row r="272" spans="1:3" x14ac:dyDescent="0.25">
      <c r="A272" t="s">
        <v>5444</v>
      </c>
      <c r="B272" s="585">
        <v>11.4</v>
      </c>
      <c r="C272" s="585">
        <v>2.2999999999999998</v>
      </c>
    </row>
    <row r="273" spans="1:3" x14ac:dyDescent="0.25">
      <c r="A273" t="s">
        <v>5445</v>
      </c>
      <c r="B273" s="585">
        <v>11.4</v>
      </c>
      <c r="C273" s="585">
        <v>2.2999999999999998</v>
      </c>
    </row>
    <row r="274" spans="1:3" x14ac:dyDescent="0.25">
      <c r="A274" t="s">
        <v>5446</v>
      </c>
      <c r="B274" s="585">
        <v>11.4</v>
      </c>
      <c r="C274" s="585">
        <v>2.2999999999999998</v>
      </c>
    </row>
    <row r="275" spans="1:3" x14ac:dyDescent="0.25">
      <c r="A275" t="s">
        <v>5447</v>
      </c>
      <c r="B275" s="585">
        <v>11.4</v>
      </c>
      <c r="C275" s="585">
        <v>2.2999999999999998</v>
      </c>
    </row>
    <row r="276" spans="1:3" x14ac:dyDescent="0.25">
      <c r="A276" t="s">
        <v>5448</v>
      </c>
      <c r="B276" s="585">
        <v>11.383333333333333</v>
      </c>
      <c r="C276" s="585">
        <v>2.2999999999999998</v>
      </c>
    </row>
    <row r="277" spans="1:3" x14ac:dyDescent="0.25">
      <c r="A277" t="s">
        <v>5449</v>
      </c>
      <c r="B277" s="585">
        <v>11.4</v>
      </c>
      <c r="C277" s="585">
        <v>2.2999999999999998</v>
      </c>
    </row>
    <row r="278" spans="1:3" x14ac:dyDescent="0.25">
      <c r="A278" t="s">
        <v>5450</v>
      </c>
      <c r="B278" s="585">
        <v>11.4</v>
      </c>
      <c r="C278" s="585">
        <v>2.2999999999999998</v>
      </c>
    </row>
    <row r="279" spans="1:3" x14ac:dyDescent="0.25">
      <c r="A279" t="s">
        <v>5451</v>
      </c>
      <c r="B279" s="585">
        <v>11.4</v>
      </c>
      <c r="C279" s="585">
        <v>2.2999999999999998</v>
      </c>
    </row>
    <row r="280" spans="1:3" x14ac:dyDescent="0.25">
      <c r="A280" t="s">
        <v>5452</v>
      </c>
      <c r="B280" s="585">
        <v>11.4</v>
      </c>
      <c r="C280" s="585">
        <v>2.2999999999999998</v>
      </c>
    </row>
    <row r="281" spans="1:3" x14ac:dyDescent="0.25">
      <c r="A281" t="s">
        <v>5453</v>
      </c>
      <c r="B281" s="585">
        <v>11.4</v>
      </c>
      <c r="C281" s="585">
        <v>2.2999999999999998</v>
      </c>
    </row>
    <row r="282" spans="1:3" x14ac:dyDescent="0.25">
      <c r="A282" t="s">
        <v>5454</v>
      </c>
      <c r="B282" s="585">
        <v>11.4</v>
      </c>
      <c r="C282" s="585">
        <v>2.2999999999999998</v>
      </c>
    </row>
    <row r="283" spans="1:3" x14ac:dyDescent="0.25">
      <c r="A283" t="s">
        <v>5455</v>
      </c>
      <c r="B283" s="585">
        <v>11.4</v>
      </c>
      <c r="C283" s="585">
        <v>2.2999999999999998</v>
      </c>
    </row>
    <row r="284" spans="1:3" x14ac:dyDescent="0.25">
      <c r="A284" t="s">
        <v>5456</v>
      </c>
      <c r="B284" s="585">
        <v>11.4</v>
      </c>
      <c r="C284" s="585">
        <v>2.2999999999999998</v>
      </c>
    </row>
    <row r="285" spans="1:3" x14ac:dyDescent="0.25">
      <c r="A285" t="s">
        <v>5457</v>
      </c>
      <c r="B285" s="585">
        <v>11.4</v>
      </c>
      <c r="C285" s="585">
        <v>2.2999999999999998</v>
      </c>
    </row>
    <row r="286" spans="1:3" x14ac:dyDescent="0.25">
      <c r="A286" t="s">
        <v>5458</v>
      </c>
      <c r="B286" s="585">
        <v>11.4</v>
      </c>
      <c r="C286" s="585">
        <v>2.2999999999999998</v>
      </c>
    </row>
    <row r="287" spans="1:3" x14ac:dyDescent="0.25">
      <c r="A287" t="s">
        <v>5459</v>
      </c>
      <c r="B287" s="585">
        <v>11.4</v>
      </c>
      <c r="C287" s="585">
        <v>2.2999999999999998</v>
      </c>
    </row>
    <row r="288" spans="1:3" x14ac:dyDescent="0.25">
      <c r="A288" t="s">
        <v>5460</v>
      </c>
      <c r="B288" s="585">
        <v>11.4</v>
      </c>
      <c r="C288" s="585">
        <v>2.2999999999999998</v>
      </c>
    </row>
    <row r="289" spans="1:3" x14ac:dyDescent="0.25">
      <c r="A289" t="s">
        <v>5461</v>
      </c>
      <c r="B289" s="585">
        <v>11.4</v>
      </c>
      <c r="C289" s="585">
        <v>2.2999999999999998</v>
      </c>
    </row>
    <row r="290" spans="1:3" x14ac:dyDescent="0.25">
      <c r="A290" t="s">
        <v>5462</v>
      </c>
      <c r="B290" s="585">
        <v>11.4</v>
      </c>
      <c r="C290" s="585">
        <v>2.2999999999999998</v>
      </c>
    </row>
    <row r="291" spans="1:3" x14ac:dyDescent="0.25">
      <c r="A291" t="s">
        <v>5463</v>
      </c>
      <c r="B291" s="585">
        <v>11.4</v>
      </c>
      <c r="C291" s="585">
        <v>2.2999999999999998</v>
      </c>
    </row>
    <row r="292" spans="1:3" x14ac:dyDescent="0.25">
      <c r="A292" t="s">
        <v>5464</v>
      </c>
      <c r="B292" s="585">
        <v>11.4</v>
      </c>
      <c r="C292" s="585">
        <v>2.2999999999999998</v>
      </c>
    </row>
    <row r="293" spans="1:3" x14ac:dyDescent="0.25">
      <c r="A293" t="s">
        <v>5465</v>
      </c>
      <c r="B293" s="585">
        <v>11.383333333333333</v>
      </c>
      <c r="C293" s="585">
        <v>2.2999999999999998</v>
      </c>
    </row>
    <row r="294" spans="1:3" x14ac:dyDescent="0.25">
      <c r="A294" t="s">
        <v>5466</v>
      </c>
      <c r="B294" s="585">
        <v>11.4</v>
      </c>
      <c r="C294" s="585">
        <v>2.2999999999999998</v>
      </c>
    </row>
    <row r="295" spans="1:3" x14ac:dyDescent="0.25">
      <c r="A295" t="s">
        <v>5467</v>
      </c>
      <c r="B295" s="585">
        <v>11.4</v>
      </c>
      <c r="C295" s="585">
        <v>2.2999999999999998</v>
      </c>
    </row>
    <row r="296" spans="1:3" x14ac:dyDescent="0.25">
      <c r="A296" t="s">
        <v>5468</v>
      </c>
      <c r="B296" s="585">
        <v>11.4</v>
      </c>
      <c r="C296" s="585">
        <v>2.2999999999999998</v>
      </c>
    </row>
    <row r="297" spans="1:3" x14ac:dyDescent="0.25">
      <c r="A297" t="s">
        <v>5469</v>
      </c>
      <c r="B297" s="585">
        <v>11.4</v>
      </c>
      <c r="C297" s="585">
        <v>2.2999999999999998</v>
      </c>
    </row>
    <row r="298" spans="1:3" x14ac:dyDescent="0.25">
      <c r="A298" t="s">
        <v>5470</v>
      </c>
      <c r="B298" s="585">
        <v>11.4</v>
      </c>
      <c r="C298" s="585">
        <v>2.2999999999999998</v>
      </c>
    </row>
    <row r="299" spans="1:3" x14ac:dyDescent="0.25">
      <c r="A299" t="s">
        <v>5471</v>
      </c>
      <c r="B299" s="585">
        <v>11.4</v>
      </c>
      <c r="C299" s="585">
        <v>2.2999999999999998</v>
      </c>
    </row>
    <row r="300" spans="1:3" x14ac:dyDescent="0.25">
      <c r="A300" t="s">
        <v>5472</v>
      </c>
      <c r="B300" s="585">
        <v>11.4</v>
      </c>
      <c r="C300" s="585">
        <v>2.2999999999999998</v>
      </c>
    </row>
    <row r="301" spans="1:3" x14ac:dyDescent="0.25">
      <c r="A301" t="s">
        <v>5473</v>
      </c>
      <c r="B301" s="585">
        <v>11.4</v>
      </c>
      <c r="C301" s="585">
        <v>2.2999999999999998</v>
      </c>
    </row>
    <row r="302" spans="1:3" x14ac:dyDescent="0.25">
      <c r="A302" t="s">
        <v>5474</v>
      </c>
      <c r="B302" s="585">
        <v>11.4</v>
      </c>
      <c r="C302" s="585">
        <v>2.2999999999999998</v>
      </c>
    </row>
    <row r="303" spans="1:3" x14ac:dyDescent="0.25">
      <c r="A303" t="s">
        <v>5475</v>
      </c>
      <c r="B303" s="585">
        <v>11.4</v>
      </c>
      <c r="C303" s="585">
        <v>2.2999999999999998</v>
      </c>
    </row>
    <row r="304" spans="1:3" x14ac:dyDescent="0.25">
      <c r="A304" t="s">
        <v>5476</v>
      </c>
      <c r="B304" s="585">
        <v>11.4</v>
      </c>
      <c r="C304" s="585">
        <v>2.2999999999999998</v>
      </c>
    </row>
    <row r="305" spans="1:3" x14ac:dyDescent="0.25">
      <c r="A305" t="s">
        <v>5477</v>
      </c>
      <c r="B305" s="585">
        <v>11.4</v>
      </c>
      <c r="C305" s="585">
        <v>2.2999999999999998</v>
      </c>
    </row>
    <row r="306" spans="1:3" x14ac:dyDescent="0.25">
      <c r="A306" t="s">
        <v>5478</v>
      </c>
      <c r="B306" s="585">
        <v>11.4</v>
      </c>
      <c r="C306" s="585">
        <v>2.2999999999999998</v>
      </c>
    </row>
    <row r="307" spans="1:3" x14ac:dyDescent="0.25">
      <c r="A307" t="s">
        <v>5479</v>
      </c>
      <c r="B307" s="585">
        <v>11.4</v>
      </c>
      <c r="C307" s="585">
        <v>2.2999999999999998</v>
      </c>
    </row>
    <row r="308" spans="1:3" x14ac:dyDescent="0.25">
      <c r="A308" t="s">
        <v>5480</v>
      </c>
      <c r="B308" s="585">
        <v>11.4</v>
      </c>
      <c r="C308" s="585">
        <v>2.2999999999999998</v>
      </c>
    </row>
    <row r="309" spans="1:3" x14ac:dyDescent="0.25">
      <c r="A309" t="s">
        <v>5481</v>
      </c>
      <c r="B309" s="585">
        <v>11.4</v>
      </c>
      <c r="C309" s="585">
        <v>2.2999999999999998</v>
      </c>
    </row>
    <row r="310" spans="1:3" x14ac:dyDescent="0.25">
      <c r="A310" t="s">
        <v>5482</v>
      </c>
      <c r="B310" s="585">
        <v>11.4</v>
      </c>
      <c r="C310" s="585">
        <v>2.2999999999999998</v>
      </c>
    </row>
    <row r="311" spans="1:3" x14ac:dyDescent="0.25">
      <c r="A311" t="s">
        <v>5483</v>
      </c>
      <c r="B311" s="585">
        <v>11.4</v>
      </c>
      <c r="C311" s="585">
        <v>2.2999999999999998</v>
      </c>
    </row>
    <row r="312" spans="1:3" x14ac:dyDescent="0.25">
      <c r="A312" t="s">
        <v>5484</v>
      </c>
      <c r="B312" s="585">
        <v>11.4</v>
      </c>
      <c r="C312" s="585">
        <v>2.2999999999999998</v>
      </c>
    </row>
    <row r="313" spans="1:3" x14ac:dyDescent="0.25">
      <c r="A313" t="s">
        <v>5485</v>
      </c>
      <c r="B313" s="585">
        <v>11.4</v>
      </c>
      <c r="C313" s="585">
        <v>2.2999999999999998</v>
      </c>
    </row>
    <row r="314" spans="1:3" x14ac:dyDescent="0.25">
      <c r="A314" t="s">
        <v>5486</v>
      </c>
      <c r="B314" s="585">
        <v>11.4</v>
      </c>
      <c r="C314" s="585">
        <v>2.2999999999999998</v>
      </c>
    </row>
    <row r="315" spans="1:3" x14ac:dyDescent="0.25">
      <c r="A315" t="s">
        <v>5487</v>
      </c>
      <c r="B315" s="585">
        <v>11.4</v>
      </c>
      <c r="C315" s="585">
        <v>2.2999999999999998</v>
      </c>
    </row>
    <row r="316" spans="1:3" x14ac:dyDescent="0.25">
      <c r="A316" t="s">
        <v>5488</v>
      </c>
      <c r="B316" s="585">
        <v>11.4</v>
      </c>
      <c r="C316" s="585">
        <v>2.2999999999999998</v>
      </c>
    </row>
    <row r="317" spans="1:3" x14ac:dyDescent="0.25">
      <c r="A317" t="s">
        <v>5489</v>
      </c>
      <c r="B317" s="585">
        <v>11.4</v>
      </c>
      <c r="C317" s="585">
        <v>2.2999999999999998</v>
      </c>
    </row>
    <row r="318" spans="1:3" x14ac:dyDescent="0.25">
      <c r="A318" t="s">
        <v>5490</v>
      </c>
      <c r="B318" s="585" t="e">
        <v>#N/A</v>
      </c>
      <c r="C318" s="585">
        <v>2.2999999999999998</v>
      </c>
    </row>
    <row r="319" spans="1:3" x14ac:dyDescent="0.25">
      <c r="A319" t="s">
        <v>5491</v>
      </c>
      <c r="B319" s="585">
        <v>11.4</v>
      </c>
      <c r="C319" s="585">
        <v>2.2999999999999998</v>
      </c>
    </row>
    <row r="320" spans="1:3" x14ac:dyDescent="0.25">
      <c r="A320" t="s">
        <v>5492</v>
      </c>
      <c r="B320" s="585">
        <v>11.4</v>
      </c>
      <c r="C320" s="585">
        <v>2.2999999999999998</v>
      </c>
    </row>
    <row r="321" spans="1:3" x14ac:dyDescent="0.25">
      <c r="A321" t="s">
        <v>5493</v>
      </c>
      <c r="B321" s="585">
        <v>11.4</v>
      </c>
      <c r="C321" s="585">
        <v>2.2999999999999998</v>
      </c>
    </row>
    <row r="322" spans="1:3" x14ac:dyDescent="0.25">
      <c r="A322" t="s">
        <v>5494</v>
      </c>
      <c r="B322" s="585">
        <v>11.4</v>
      </c>
      <c r="C322" s="585">
        <v>2.2999999999999998</v>
      </c>
    </row>
    <row r="323" spans="1:3" x14ac:dyDescent="0.25">
      <c r="A323" t="s">
        <v>5495</v>
      </c>
      <c r="B323" s="585">
        <v>11.383333333333333</v>
      </c>
      <c r="C323" s="585">
        <v>2.2999999999999998</v>
      </c>
    </row>
    <row r="324" spans="1:3" x14ac:dyDescent="0.25">
      <c r="A324" t="s">
        <v>5496</v>
      </c>
      <c r="B324" s="585">
        <v>11.4</v>
      </c>
      <c r="C324" s="585">
        <v>2.2999999999999998</v>
      </c>
    </row>
    <row r="325" spans="1:3" x14ac:dyDescent="0.25">
      <c r="A325" t="s">
        <v>5497</v>
      </c>
      <c r="B325" s="585">
        <v>11.4</v>
      </c>
      <c r="C325" s="585">
        <v>2.2999999999999998</v>
      </c>
    </row>
    <row r="326" spans="1:3" x14ac:dyDescent="0.25">
      <c r="A326" t="s">
        <v>5498</v>
      </c>
      <c r="B326" s="585">
        <v>11.4</v>
      </c>
      <c r="C326" s="585">
        <v>2.2999999999999998</v>
      </c>
    </row>
    <row r="327" spans="1:3" x14ac:dyDescent="0.25">
      <c r="A327" t="s">
        <v>5499</v>
      </c>
      <c r="B327" s="585">
        <v>11.4</v>
      </c>
      <c r="C327" s="585">
        <v>2.2999999999999998</v>
      </c>
    </row>
    <row r="328" spans="1:3" x14ac:dyDescent="0.25">
      <c r="A328" t="s">
        <v>5500</v>
      </c>
      <c r="B328" s="585">
        <v>11.4</v>
      </c>
      <c r="C328" s="585">
        <v>2.2999999999999998</v>
      </c>
    </row>
    <row r="329" spans="1:3" x14ac:dyDescent="0.25">
      <c r="A329" t="s">
        <v>5501</v>
      </c>
      <c r="B329" s="585">
        <v>11.4</v>
      </c>
      <c r="C329" s="585">
        <v>2.2999999999999998</v>
      </c>
    </row>
    <row r="330" spans="1:3" x14ac:dyDescent="0.25">
      <c r="A330" t="s">
        <v>5502</v>
      </c>
      <c r="B330" s="585">
        <v>11.4</v>
      </c>
      <c r="C330" s="585">
        <v>2.2999999999999998</v>
      </c>
    </row>
    <row r="331" spans="1:3" x14ac:dyDescent="0.25">
      <c r="A331" t="s">
        <v>5503</v>
      </c>
      <c r="B331" s="585">
        <v>11.4</v>
      </c>
      <c r="C331" s="585">
        <v>2.2999999999999998</v>
      </c>
    </row>
    <row r="332" spans="1:3" x14ac:dyDescent="0.25">
      <c r="A332" t="s">
        <v>5504</v>
      </c>
      <c r="B332" s="585">
        <v>11.4</v>
      </c>
      <c r="C332" s="585">
        <v>2.2999999999999998</v>
      </c>
    </row>
    <row r="333" spans="1:3" x14ac:dyDescent="0.25">
      <c r="A333" t="s">
        <v>5505</v>
      </c>
      <c r="B333" s="585">
        <v>11.4</v>
      </c>
      <c r="C333" s="585">
        <v>2.2999999999999998</v>
      </c>
    </row>
    <row r="334" spans="1:3" x14ac:dyDescent="0.25">
      <c r="A334" t="s">
        <v>5506</v>
      </c>
      <c r="B334" s="585">
        <v>11.4</v>
      </c>
      <c r="C334" s="585">
        <v>2.2999999999999998</v>
      </c>
    </row>
    <row r="335" spans="1:3" x14ac:dyDescent="0.25">
      <c r="A335" t="s">
        <v>5507</v>
      </c>
      <c r="B335" s="585">
        <v>11.4</v>
      </c>
      <c r="C335" s="585">
        <v>2.2999999999999998</v>
      </c>
    </row>
    <row r="336" spans="1:3" x14ac:dyDescent="0.25">
      <c r="A336" t="s">
        <v>5508</v>
      </c>
      <c r="B336" s="585">
        <v>11.4</v>
      </c>
      <c r="C336" s="585">
        <v>2.2999999999999998</v>
      </c>
    </row>
    <row r="337" spans="1:3" x14ac:dyDescent="0.25">
      <c r="A337" t="s">
        <v>5509</v>
      </c>
      <c r="B337" s="585">
        <v>11.4</v>
      </c>
      <c r="C337" s="585">
        <v>2.2999999999999998</v>
      </c>
    </row>
    <row r="338" spans="1:3" x14ac:dyDescent="0.25">
      <c r="A338" t="s">
        <v>5510</v>
      </c>
      <c r="B338" s="585">
        <v>11.4</v>
      </c>
      <c r="C338" s="585">
        <v>2.2999999999999998</v>
      </c>
    </row>
    <row r="339" spans="1:3" x14ac:dyDescent="0.25">
      <c r="A339" t="s">
        <v>5511</v>
      </c>
      <c r="B339" s="585">
        <v>11.383333333333333</v>
      </c>
      <c r="C339" s="585">
        <v>2.2999999999999998</v>
      </c>
    </row>
    <row r="340" spans="1:3" x14ac:dyDescent="0.25">
      <c r="A340" t="s">
        <v>5512</v>
      </c>
      <c r="B340" s="585">
        <v>11.4</v>
      </c>
      <c r="C340" s="585">
        <v>2.2999999999999998</v>
      </c>
    </row>
    <row r="341" spans="1:3" x14ac:dyDescent="0.25">
      <c r="A341" t="s">
        <v>5513</v>
      </c>
      <c r="B341" s="585">
        <v>11.4</v>
      </c>
      <c r="C341" s="585">
        <v>2.2999999999999998</v>
      </c>
    </row>
    <row r="342" spans="1:3" x14ac:dyDescent="0.25">
      <c r="A342" t="s">
        <v>5514</v>
      </c>
      <c r="B342" s="585">
        <v>11.4</v>
      </c>
      <c r="C342" s="585">
        <v>2.2999999999999998</v>
      </c>
    </row>
    <row r="343" spans="1:3" x14ac:dyDescent="0.25">
      <c r="A343" t="s">
        <v>5515</v>
      </c>
      <c r="B343" s="585">
        <v>11.4</v>
      </c>
      <c r="C343" s="585">
        <v>2.2999999999999998</v>
      </c>
    </row>
    <row r="344" spans="1:3" x14ac:dyDescent="0.25">
      <c r="A344" t="s">
        <v>5516</v>
      </c>
      <c r="B344" s="585">
        <v>11.4</v>
      </c>
      <c r="C344" s="585">
        <v>2.2999999999999998</v>
      </c>
    </row>
    <row r="345" spans="1:3" x14ac:dyDescent="0.25">
      <c r="A345" t="s">
        <v>5517</v>
      </c>
      <c r="B345" s="585">
        <v>11.383333333333333</v>
      </c>
      <c r="C345" s="585">
        <v>2.2999999999999998</v>
      </c>
    </row>
    <row r="346" spans="1:3" x14ac:dyDescent="0.25">
      <c r="A346" t="s">
        <v>5518</v>
      </c>
      <c r="B346" s="585">
        <v>11.4</v>
      </c>
      <c r="C346" s="585">
        <v>2.2999999999999998</v>
      </c>
    </row>
    <row r="347" spans="1:3" x14ac:dyDescent="0.25">
      <c r="A347" t="s">
        <v>5519</v>
      </c>
      <c r="B347" s="585">
        <v>11.4</v>
      </c>
      <c r="C347" s="585">
        <v>2.2999999999999998</v>
      </c>
    </row>
    <row r="348" spans="1:3" x14ac:dyDescent="0.25">
      <c r="A348" t="s">
        <v>5520</v>
      </c>
      <c r="B348" s="585">
        <v>11.4</v>
      </c>
      <c r="C348" s="585">
        <v>2.2999999999999998</v>
      </c>
    </row>
    <row r="349" spans="1:3" x14ac:dyDescent="0.25">
      <c r="A349" t="s">
        <v>5521</v>
      </c>
      <c r="B349" s="585">
        <v>11.383333333333333</v>
      </c>
      <c r="C349" s="585">
        <v>2.2999999999999998</v>
      </c>
    </row>
    <row r="350" spans="1:3" x14ac:dyDescent="0.25">
      <c r="A350" t="s">
        <v>5522</v>
      </c>
      <c r="B350" s="585">
        <v>11.4</v>
      </c>
      <c r="C350" s="585">
        <v>2.2999999999999998</v>
      </c>
    </row>
    <row r="351" spans="1:3" x14ac:dyDescent="0.25">
      <c r="A351" t="s">
        <v>5523</v>
      </c>
      <c r="B351" s="585">
        <v>11.4</v>
      </c>
      <c r="C351" s="585">
        <v>2.2999999999999998</v>
      </c>
    </row>
    <row r="352" spans="1:3" x14ac:dyDescent="0.25">
      <c r="A352" t="s">
        <v>5524</v>
      </c>
      <c r="B352" s="585">
        <v>11.383333333333333</v>
      </c>
      <c r="C352" s="585">
        <v>2.2999999999999998</v>
      </c>
    </row>
    <row r="353" spans="1:3" x14ac:dyDescent="0.25">
      <c r="A353" t="s">
        <v>3018</v>
      </c>
      <c r="B353" s="585">
        <v>11.383333333333333</v>
      </c>
      <c r="C353" s="585">
        <v>2.2999999999999998</v>
      </c>
    </row>
    <row r="354" spans="1:3" x14ac:dyDescent="0.25">
      <c r="A354" t="s">
        <v>5525</v>
      </c>
      <c r="B354" s="585">
        <v>11.4</v>
      </c>
      <c r="C354" s="585">
        <v>2.2999999999999998</v>
      </c>
    </row>
    <row r="355" spans="1:3" x14ac:dyDescent="0.25">
      <c r="A355" t="s">
        <v>5526</v>
      </c>
      <c r="B355" s="585">
        <v>11.4</v>
      </c>
      <c r="C355" s="585">
        <v>2.2999999999999998</v>
      </c>
    </row>
    <row r="356" spans="1:3" x14ac:dyDescent="0.25">
      <c r="A356" t="s">
        <v>5527</v>
      </c>
      <c r="B356" s="585">
        <v>11.4</v>
      </c>
      <c r="C356" s="585">
        <v>2.2999999999999998</v>
      </c>
    </row>
    <row r="357" spans="1:3" x14ac:dyDescent="0.25">
      <c r="A357" t="s">
        <v>5528</v>
      </c>
      <c r="B357" s="585">
        <v>11.4</v>
      </c>
      <c r="C357" s="585">
        <v>2.2999999999999998</v>
      </c>
    </row>
    <row r="358" spans="1:3" x14ac:dyDescent="0.25">
      <c r="A358" t="s">
        <v>5529</v>
      </c>
      <c r="B358" s="585">
        <v>11.383333333333333</v>
      </c>
      <c r="C358" s="585">
        <v>2.2999999999999998</v>
      </c>
    </row>
    <row r="359" spans="1:3" x14ac:dyDescent="0.25">
      <c r="A359" t="s">
        <v>5530</v>
      </c>
      <c r="B359" s="585">
        <v>11.4</v>
      </c>
      <c r="C359" s="585">
        <v>2.2999999999999998</v>
      </c>
    </row>
    <row r="360" spans="1:3" x14ac:dyDescent="0.25">
      <c r="A360" t="s">
        <v>5531</v>
      </c>
      <c r="B360" s="585">
        <v>11.4</v>
      </c>
      <c r="C360" s="585">
        <v>2.2999999999999998</v>
      </c>
    </row>
    <row r="361" spans="1:3" x14ac:dyDescent="0.25">
      <c r="A361" t="s">
        <v>5532</v>
      </c>
      <c r="B361" s="585">
        <v>11.4</v>
      </c>
      <c r="C361" s="585">
        <v>2.2999999999999998</v>
      </c>
    </row>
    <row r="362" spans="1:3" x14ac:dyDescent="0.25">
      <c r="A362" t="s">
        <v>5533</v>
      </c>
      <c r="B362" s="585">
        <v>11.4</v>
      </c>
      <c r="C362" s="585">
        <v>2.2999999999999998</v>
      </c>
    </row>
    <row r="363" spans="1:3" x14ac:dyDescent="0.25">
      <c r="A363" t="s">
        <v>5534</v>
      </c>
      <c r="B363" s="585">
        <v>11.4</v>
      </c>
      <c r="C363" s="585">
        <v>2.2999999999999998</v>
      </c>
    </row>
    <row r="364" spans="1:3" x14ac:dyDescent="0.25">
      <c r="A364" t="s">
        <v>5535</v>
      </c>
      <c r="B364" s="585">
        <v>11.4</v>
      </c>
      <c r="C364" s="585">
        <v>2.2999999999999998</v>
      </c>
    </row>
    <row r="365" spans="1:3" x14ac:dyDescent="0.25">
      <c r="A365" t="s">
        <v>5536</v>
      </c>
      <c r="B365" s="585">
        <v>11.4</v>
      </c>
      <c r="C365" s="585">
        <v>2.2999999999999998</v>
      </c>
    </row>
    <row r="366" spans="1:3" x14ac:dyDescent="0.25">
      <c r="A366" t="s">
        <v>5537</v>
      </c>
      <c r="B366" s="585">
        <v>11.383333333333333</v>
      </c>
      <c r="C366" s="585">
        <v>2.2999999999999998</v>
      </c>
    </row>
    <row r="367" spans="1:3" x14ac:dyDescent="0.25">
      <c r="A367" t="s">
        <v>5538</v>
      </c>
      <c r="B367" s="585">
        <v>11.4</v>
      </c>
      <c r="C367" s="585">
        <v>2.2999999999999998</v>
      </c>
    </row>
    <row r="368" spans="1:3" x14ac:dyDescent="0.25">
      <c r="A368" t="s">
        <v>5539</v>
      </c>
      <c r="B368" s="585">
        <v>11.4</v>
      </c>
      <c r="C368" s="585">
        <v>2.2999999999999998</v>
      </c>
    </row>
    <row r="369" spans="1:3" x14ac:dyDescent="0.25">
      <c r="A369" t="s">
        <v>5540</v>
      </c>
      <c r="B369" s="585">
        <v>11.4</v>
      </c>
      <c r="C369" s="585">
        <v>2.2999999999999998</v>
      </c>
    </row>
    <row r="370" spans="1:3" x14ac:dyDescent="0.25">
      <c r="A370" t="s">
        <v>5541</v>
      </c>
      <c r="B370" s="585">
        <v>11.4</v>
      </c>
      <c r="C370" s="585">
        <v>2.2999999999999998</v>
      </c>
    </row>
    <row r="371" spans="1:3" x14ac:dyDescent="0.25">
      <c r="A371" t="s">
        <v>5542</v>
      </c>
      <c r="B371" s="585">
        <v>11.4</v>
      </c>
      <c r="C371" s="585">
        <v>2.2999999999999998</v>
      </c>
    </row>
    <row r="372" spans="1:3" x14ac:dyDescent="0.25">
      <c r="A372" t="s">
        <v>5543</v>
      </c>
      <c r="B372" s="585">
        <v>11.4</v>
      </c>
      <c r="C372" s="585">
        <v>2.2999999999999998</v>
      </c>
    </row>
    <row r="373" spans="1:3" x14ac:dyDescent="0.25">
      <c r="A373" t="s">
        <v>5544</v>
      </c>
      <c r="B373" s="585">
        <v>11.4</v>
      </c>
      <c r="C373" s="585">
        <v>2.2999999999999998</v>
      </c>
    </row>
    <row r="374" spans="1:3" x14ac:dyDescent="0.25">
      <c r="A374" t="s">
        <v>5545</v>
      </c>
      <c r="B374" s="585">
        <v>11.4</v>
      </c>
      <c r="C374" s="585">
        <v>2.2999999999999998</v>
      </c>
    </row>
    <row r="375" spans="1:3" x14ac:dyDescent="0.25">
      <c r="A375" t="s">
        <v>5546</v>
      </c>
      <c r="B375" s="585">
        <v>11.4</v>
      </c>
      <c r="C375" s="585">
        <v>2.2999999999999998</v>
      </c>
    </row>
    <row r="376" spans="1:3" x14ac:dyDescent="0.25">
      <c r="A376" t="s">
        <v>5547</v>
      </c>
      <c r="B376" s="585">
        <v>11.4</v>
      </c>
      <c r="C376" s="585">
        <v>2.2999999999999998</v>
      </c>
    </row>
    <row r="377" spans="1:3" x14ac:dyDescent="0.25">
      <c r="A377" t="s">
        <v>5548</v>
      </c>
      <c r="B377" s="585">
        <v>11.4</v>
      </c>
      <c r="C377" s="585">
        <v>2.2999999999999998</v>
      </c>
    </row>
    <row r="378" spans="1:3" x14ac:dyDescent="0.25">
      <c r="A378" t="s">
        <v>5549</v>
      </c>
      <c r="B378" s="585">
        <v>11.4</v>
      </c>
      <c r="C378" s="585">
        <v>2.2999999999999998</v>
      </c>
    </row>
    <row r="379" spans="1:3" x14ac:dyDescent="0.25">
      <c r="A379" t="s">
        <v>5550</v>
      </c>
      <c r="B379" s="585">
        <v>11.4</v>
      </c>
      <c r="C379" s="585">
        <v>2.2999999999999998</v>
      </c>
    </row>
    <row r="380" spans="1:3" x14ac:dyDescent="0.25">
      <c r="A380" t="s">
        <v>5551</v>
      </c>
      <c r="B380" s="585">
        <v>11.4</v>
      </c>
      <c r="C380" s="585">
        <v>2.2999999999999998</v>
      </c>
    </row>
    <row r="381" spans="1:3" x14ac:dyDescent="0.25">
      <c r="A381" t="s">
        <v>5552</v>
      </c>
      <c r="B381" s="585">
        <v>11.4</v>
      </c>
      <c r="C381" s="585">
        <v>2.2999999999999998</v>
      </c>
    </row>
    <row r="382" spans="1:3" x14ac:dyDescent="0.25">
      <c r="A382" t="s">
        <v>5553</v>
      </c>
      <c r="B382" s="585">
        <v>11.4</v>
      </c>
      <c r="C382" s="585">
        <v>2.2999999999999998</v>
      </c>
    </row>
    <row r="383" spans="1:3" x14ac:dyDescent="0.25">
      <c r="A383" t="s">
        <v>5554</v>
      </c>
      <c r="B383" s="585">
        <v>11.4</v>
      </c>
      <c r="C383" s="585">
        <v>2.2999999999999998</v>
      </c>
    </row>
    <row r="384" spans="1:3" x14ac:dyDescent="0.25">
      <c r="A384" t="s">
        <v>5555</v>
      </c>
      <c r="B384" s="585">
        <v>11.4</v>
      </c>
      <c r="C384" s="585">
        <v>2.2999999999999998</v>
      </c>
    </row>
    <row r="385" spans="1:3" x14ac:dyDescent="0.25">
      <c r="A385" t="s">
        <v>5556</v>
      </c>
      <c r="B385" s="585">
        <v>11.4</v>
      </c>
      <c r="C385" s="585">
        <v>2.2999999999999998</v>
      </c>
    </row>
    <row r="386" spans="1:3" x14ac:dyDescent="0.25">
      <c r="A386" t="s">
        <v>5557</v>
      </c>
      <c r="B386" s="585">
        <v>11.4</v>
      </c>
      <c r="C386" s="585">
        <v>2.2999999999999998</v>
      </c>
    </row>
    <row r="387" spans="1:3" x14ac:dyDescent="0.25">
      <c r="A387" t="s">
        <v>5558</v>
      </c>
      <c r="B387" s="585">
        <v>11.4</v>
      </c>
      <c r="C387" s="585">
        <v>2.2999999999999998</v>
      </c>
    </row>
    <row r="388" spans="1:3" x14ac:dyDescent="0.25">
      <c r="A388" t="s">
        <v>5559</v>
      </c>
      <c r="B388" s="585">
        <v>11.4</v>
      </c>
      <c r="C388" s="585">
        <v>2.2999999999999998</v>
      </c>
    </row>
    <row r="389" spans="1:3" x14ac:dyDescent="0.25">
      <c r="A389" t="s">
        <v>5560</v>
      </c>
      <c r="B389" s="585">
        <v>11.383333333333333</v>
      </c>
      <c r="C389" s="585">
        <v>2.2999999999999998</v>
      </c>
    </row>
    <row r="390" spans="1:3" x14ac:dyDescent="0.25">
      <c r="A390" t="s">
        <v>5561</v>
      </c>
      <c r="B390" s="585">
        <v>11.433333333333334</v>
      </c>
      <c r="C390" s="585">
        <v>2.7</v>
      </c>
    </row>
    <row r="391" spans="1:3" x14ac:dyDescent="0.25">
      <c r="A391" t="s">
        <v>5562</v>
      </c>
      <c r="B391" s="585">
        <v>11.433333333333334</v>
      </c>
      <c r="C391" s="585">
        <v>2.7</v>
      </c>
    </row>
    <row r="392" spans="1:3" x14ac:dyDescent="0.25">
      <c r="A392" t="s">
        <v>5563</v>
      </c>
      <c r="B392" s="585">
        <v>11.433333333333334</v>
      </c>
      <c r="C392" s="585">
        <v>2.7</v>
      </c>
    </row>
    <row r="393" spans="1:3" x14ac:dyDescent="0.25">
      <c r="A393" t="s">
        <v>5175</v>
      </c>
      <c r="B393" s="585">
        <v>11.45</v>
      </c>
      <c r="C393" s="585">
        <v>2.7</v>
      </c>
    </row>
    <row r="394" spans="1:3" x14ac:dyDescent="0.25">
      <c r="A394" t="s">
        <v>5174</v>
      </c>
      <c r="B394" s="585">
        <v>11.433333333333334</v>
      </c>
      <c r="C394" s="585">
        <v>2.7</v>
      </c>
    </row>
    <row r="395" spans="1:3" x14ac:dyDescent="0.25">
      <c r="A395" t="s">
        <v>5564</v>
      </c>
      <c r="B395" s="585">
        <v>11.433333333333334</v>
      </c>
      <c r="C395" s="585">
        <v>2.7</v>
      </c>
    </row>
    <row r="396" spans="1:3" x14ac:dyDescent="0.25">
      <c r="A396" t="s">
        <v>5565</v>
      </c>
      <c r="B396" s="585">
        <v>11.433333333333334</v>
      </c>
      <c r="C396" s="585">
        <v>2.7</v>
      </c>
    </row>
    <row r="397" spans="1:3" x14ac:dyDescent="0.25">
      <c r="A397" t="s">
        <v>5566</v>
      </c>
      <c r="B397" s="585">
        <v>11.433333333333334</v>
      </c>
      <c r="C397" s="585">
        <v>2.7</v>
      </c>
    </row>
    <row r="398" spans="1:3" x14ac:dyDescent="0.25">
      <c r="A398" t="s">
        <v>5567</v>
      </c>
      <c r="B398" s="585">
        <v>11.433333333333334</v>
      </c>
      <c r="C398" s="585">
        <v>2.7</v>
      </c>
    </row>
    <row r="399" spans="1:3" x14ac:dyDescent="0.25">
      <c r="A399" t="s">
        <v>5178</v>
      </c>
      <c r="B399" s="585">
        <v>11.433333333333334</v>
      </c>
      <c r="C399" s="585">
        <v>2.7</v>
      </c>
    </row>
    <row r="400" spans="1:3" x14ac:dyDescent="0.25">
      <c r="A400" t="s">
        <v>5568</v>
      </c>
      <c r="B400" s="585">
        <v>11.433333333333334</v>
      </c>
      <c r="C400" s="585">
        <v>2.7</v>
      </c>
    </row>
    <row r="401" spans="1:3" x14ac:dyDescent="0.25">
      <c r="A401" t="s">
        <v>5569</v>
      </c>
      <c r="B401" s="585">
        <v>11.433333333333334</v>
      </c>
      <c r="C401" s="585">
        <v>2.7</v>
      </c>
    </row>
    <row r="402" spans="1:3" x14ac:dyDescent="0.25">
      <c r="A402" t="s">
        <v>5570</v>
      </c>
      <c r="B402" s="585">
        <v>11.433333333333334</v>
      </c>
      <c r="C402" s="585">
        <v>2.7</v>
      </c>
    </row>
    <row r="403" spans="1:3" x14ac:dyDescent="0.25">
      <c r="A403" t="s">
        <v>5571</v>
      </c>
      <c r="B403" s="585">
        <v>11.45</v>
      </c>
      <c r="C403" s="585">
        <v>2.7</v>
      </c>
    </row>
    <row r="404" spans="1:3" x14ac:dyDescent="0.25">
      <c r="A404" t="s">
        <v>5572</v>
      </c>
      <c r="B404" s="585">
        <v>11.433333333333334</v>
      </c>
      <c r="C404" s="585">
        <v>2.7</v>
      </c>
    </row>
    <row r="405" spans="1:3" x14ac:dyDescent="0.25">
      <c r="A405" t="s">
        <v>5573</v>
      </c>
      <c r="B405" s="585">
        <v>11.433333333333334</v>
      </c>
      <c r="C405" s="585">
        <v>2.7</v>
      </c>
    </row>
    <row r="406" spans="1:3" x14ac:dyDescent="0.25">
      <c r="A406" t="s">
        <v>5574</v>
      </c>
      <c r="B406" s="585">
        <v>11.433333333333334</v>
      </c>
      <c r="C406" s="585">
        <v>2.7</v>
      </c>
    </row>
    <row r="407" spans="1:3" x14ac:dyDescent="0.25">
      <c r="A407" t="s">
        <v>5575</v>
      </c>
      <c r="B407" s="585">
        <v>11.433333333333334</v>
      </c>
      <c r="C407" s="585">
        <v>2.7</v>
      </c>
    </row>
    <row r="408" spans="1:3" x14ac:dyDescent="0.25">
      <c r="A408" t="s">
        <v>5576</v>
      </c>
      <c r="B408" s="585">
        <v>11.433333333333334</v>
      </c>
      <c r="C408" s="585">
        <v>2.7</v>
      </c>
    </row>
    <row r="409" spans="1:3" x14ac:dyDescent="0.25">
      <c r="A409" t="s">
        <v>5577</v>
      </c>
      <c r="B409" s="585">
        <v>11.433333333333334</v>
      </c>
      <c r="C409" s="585">
        <v>2.7</v>
      </c>
    </row>
    <row r="410" spans="1:3" x14ac:dyDescent="0.25">
      <c r="A410" t="s">
        <v>5578</v>
      </c>
      <c r="B410" s="585">
        <v>11.433333333333334</v>
      </c>
      <c r="C410" s="585">
        <v>2.7</v>
      </c>
    </row>
    <row r="411" spans="1:3" x14ac:dyDescent="0.25">
      <c r="A411" t="s">
        <v>5579</v>
      </c>
      <c r="B411" s="585">
        <v>11.433333333333334</v>
      </c>
      <c r="C411" s="585">
        <v>2.7</v>
      </c>
    </row>
    <row r="412" spans="1:3" x14ac:dyDescent="0.25">
      <c r="A412" t="s">
        <v>5580</v>
      </c>
      <c r="B412" s="585">
        <v>11.45</v>
      </c>
      <c r="C412" s="585">
        <v>2.7</v>
      </c>
    </row>
    <row r="413" spans="1:3" x14ac:dyDescent="0.25">
      <c r="A413" t="s">
        <v>5581</v>
      </c>
      <c r="B413" s="585">
        <v>11.433333333333334</v>
      </c>
      <c r="C413" s="585">
        <v>2.7</v>
      </c>
    </row>
    <row r="414" spans="1:3" x14ac:dyDescent="0.25">
      <c r="A414" t="s">
        <v>5582</v>
      </c>
      <c r="B414" s="585">
        <v>11.433333333333334</v>
      </c>
      <c r="C414" s="585">
        <v>2.7</v>
      </c>
    </row>
    <row r="415" spans="1:3" x14ac:dyDescent="0.25">
      <c r="A415" t="s">
        <v>5583</v>
      </c>
      <c r="B415" s="585">
        <v>11.433333333333334</v>
      </c>
      <c r="C415" s="585">
        <v>2.7</v>
      </c>
    </row>
    <row r="416" spans="1:3" x14ac:dyDescent="0.25">
      <c r="A416" t="s">
        <v>5584</v>
      </c>
      <c r="B416" s="585">
        <v>11.45</v>
      </c>
      <c r="C416" s="585">
        <v>2.7</v>
      </c>
    </row>
    <row r="417" spans="1:3" x14ac:dyDescent="0.25">
      <c r="A417" t="s">
        <v>5585</v>
      </c>
      <c r="B417" s="585">
        <v>11.433333333333334</v>
      </c>
      <c r="C417" s="585">
        <v>2.7</v>
      </c>
    </row>
    <row r="418" spans="1:3" x14ac:dyDescent="0.25">
      <c r="A418" t="s">
        <v>5586</v>
      </c>
      <c r="B418" s="585">
        <v>11.433333333333334</v>
      </c>
      <c r="C418" s="585">
        <v>2.7</v>
      </c>
    </row>
    <row r="419" spans="1:3" x14ac:dyDescent="0.25">
      <c r="A419" t="s">
        <v>5587</v>
      </c>
      <c r="B419" s="585">
        <v>11.433333333333334</v>
      </c>
      <c r="C419" s="585">
        <v>2.7</v>
      </c>
    </row>
    <row r="420" spans="1:3" x14ac:dyDescent="0.25">
      <c r="A420" t="s">
        <v>5588</v>
      </c>
      <c r="B420" s="585">
        <v>11.433333333333334</v>
      </c>
      <c r="C420" s="585">
        <v>2.7</v>
      </c>
    </row>
    <row r="421" spans="1:3" x14ac:dyDescent="0.25">
      <c r="A421" t="s">
        <v>5589</v>
      </c>
      <c r="B421" s="585">
        <v>11.433333333333334</v>
      </c>
      <c r="C421" s="585">
        <v>2.7</v>
      </c>
    </row>
    <row r="422" spans="1:3" x14ac:dyDescent="0.25">
      <c r="A422" t="s">
        <v>5590</v>
      </c>
      <c r="B422" s="585">
        <v>11.433333333333334</v>
      </c>
      <c r="C422" s="585">
        <v>2.7</v>
      </c>
    </row>
    <row r="423" spans="1:3" x14ac:dyDescent="0.25">
      <c r="A423" t="s">
        <v>5591</v>
      </c>
      <c r="B423" s="585">
        <v>11.433333333333334</v>
      </c>
      <c r="C423" s="585">
        <v>2.7</v>
      </c>
    </row>
    <row r="424" spans="1:3" x14ac:dyDescent="0.25">
      <c r="A424" t="s">
        <v>5592</v>
      </c>
      <c r="B424" s="585">
        <v>11.433333333333334</v>
      </c>
      <c r="C424" s="585">
        <v>2.7</v>
      </c>
    </row>
    <row r="425" spans="1:3" x14ac:dyDescent="0.25">
      <c r="A425" t="s">
        <v>5593</v>
      </c>
      <c r="B425" s="585">
        <v>11.433333333333334</v>
      </c>
      <c r="C425" s="585">
        <v>2.7</v>
      </c>
    </row>
    <row r="426" spans="1:3" x14ac:dyDescent="0.25">
      <c r="A426" t="s">
        <v>5594</v>
      </c>
      <c r="B426" s="585">
        <v>11.433333333333334</v>
      </c>
      <c r="C426" s="585">
        <v>2.7</v>
      </c>
    </row>
    <row r="427" spans="1:3" x14ac:dyDescent="0.25">
      <c r="A427" t="s">
        <v>5595</v>
      </c>
      <c r="B427" s="585">
        <v>11.433333333333334</v>
      </c>
      <c r="C427" s="585">
        <v>2.7</v>
      </c>
    </row>
    <row r="428" spans="1:3" x14ac:dyDescent="0.25">
      <c r="A428" t="s">
        <v>5596</v>
      </c>
      <c r="B428" s="585">
        <v>11.433333333333334</v>
      </c>
      <c r="C428" s="585">
        <v>2.7</v>
      </c>
    </row>
    <row r="429" spans="1:3" x14ac:dyDescent="0.25">
      <c r="A429" t="s">
        <v>5597</v>
      </c>
      <c r="B429" s="585">
        <v>11.433333333333334</v>
      </c>
      <c r="C429" s="585">
        <v>2.7</v>
      </c>
    </row>
    <row r="430" spans="1:3" x14ac:dyDescent="0.25">
      <c r="A430" t="s">
        <v>5598</v>
      </c>
      <c r="B430" s="585">
        <v>11.433333333333334</v>
      </c>
      <c r="C430" s="585">
        <v>2.7</v>
      </c>
    </row>
    <row r="431" spans="1:3" x14ac:dyDescent="0.25">
      <c r="A431" t="s">
        <v>5599</v>
      </c>
      <c r="B431" s="585">
        <v>11.433333333333334</v>
      </c>
      <c r="C431" s="585">
        <v>2.7</v>
      </c>
    </row>
    <row r="432" spans="1:3" x14ac:dyDescent="0.25">
      <c r="A432" t="s">
        <v>5600</v>
      </c>
      <c r="B432" s="585">
        <v>11.433333333333334</v>
      </c>
      <c r="C432" s="585">
        <v>2.7</v>
      </c>
    </row>
    <row r="433" spans="1:3" x14ac:dyDescent="0.25">
      <c r="A433" t="s">
        <v>5601</v>
      </c>
      <c r="B433" s="585">
        <v>11.433333333333334</v>
      </c>
      <c r="C433" s="585">
        <v>2.7</v>
      </c>
    </row>
    <row r="434" spans="1:3" x14ac:dyDescent="0.25">
      <c r="A434" t="s">
        <v>5602</v>
      </c>
      <c r="B434" s="585">
        <v>11.45</v>
      </c>
      <c r="C434" s="585">
        <v>2.7</v>
      </c>
    </row>
    <row r="435" spans="1:3" x14ac:dyDescent="0.25">
      <c r="A435" t="s">
        <v>5603</v>
      </c>
      <c r="B435" s="585">
        <v>11.433333333333334</v>
      </c>
      <c r="C435" s="585">
        <v>2.7</v>
      </c>
    </row>
    <row r="436" spans="1:3" x14ac:dyDescent="0.25">
      <c r="A436" t="s">
        <v>5604</v>
      </c>
      <c r="B436" s="585">
        <v>11.433333333333334</v>
      </c>
      <c r="C436" s="585">
        <v>2.7</v>
      </c>
    </row>
    <row r="437" spans="1:3" x14ac:dyDescent="0.25">
      <c r="A437" t="s">
        <v>5605</v>
      </c>
      <c r="B437" s="585">
        <v>11.433333333333334</v>
      </c>
      <c r="C437" s="585">
        <v>2.7</v>
      </c>
    </row>
    <row r="438" spans="1:3" x14ac:dyDescent="0.25">
      <c r="A438" t="s">
        <v>5606</v>
      </c>
      <c r="B438" s="585">
        <v>11.433333333333334</v>
      </c>
      <c r="C438" s="585">
        <v>2.7</v>
      </c>
    </row>
    <row r="439" spans="1:3" x14ac:dyDescent="0.25">
      <c r="A439" t="s">
        <v>3252</v>
      </c>
      <c r="B439" s="585">
        <v>11.433333333333334</v>
      </c>
      <c r="C439" s="585">
        <v>2.7</v>
      </c>
    </row>
    <row r="440" spans="1:3" x14ac:dyDescent="0.25">
      <c r="A440" t="s">
        <v>5607</v>
      </c>
      <c r="B440" s="585">
        <v>11.433333333333334</v>
      </c>
      <c r="C440" s="585">
        <v>2.7</v>
      </c>
    </row>
    <row r="441" spans="1:3" x14ac:dyDescent="0.25">
      <c r="A441" t="s">
        <v>5608</v>
      </c>
      <c r="B441" s="585">
        <v>11.433333333333334</v>
      </c>
      <c r="C441" s="585">
        <v>2.7</v>
      </c>
    </row>
    <row r="442" spans="1:3" x14ac:dyDescent="0.25">
      <c r="A442" t="s">
        <v>5609</v>
      </c>
      <c r="B442" s="585">
        <v>11.433333333333334</v>
      </c>
      <c r="C442" s="585">
        <v>2.7</v>
      </c>
    </row>
    <row r="443" spans="1:3" x14ac:dyDescent="0.25">
      <c r="A443" t="s">
        <v>5610</v>
      </c>
      <c r="B443" s="585">
        <v>11.433333333333334</v>
      </c>
      <c r="C443" s="585">
        <v>2.7</v>
      </c>
    </row>
    <row r="444" spans="1:3" x14ac:dyDescent="0.25">
      <c r="A444" t="s">
        <v>5611</v>
      </c>
      <c r="B444" s="585">
        <v>11.433333333333334</v>
      </c>
      <c r="C444" s="585">
        <v>2.7</v>
      </c>
    </row>
    <row r="445" spans="1:3" x14ac:dyDescent="0.25">
      <c r="A445" t="s">
        <v>5612</v>
      </c>
      <c r="B445" s="585">
        <v>11.433333333333334</v>
      </c>
      <c r="C445" s="585">
        <v>2.7</v>
      </c>
    </row>
    <row r="446" spans="1:3" x14ac:dyDescent="0.25">
      <c r="A446" t="s">
        <v>5613</v>
      </c>
      <c r="B446" s="585">
        <v>11.433333333333334</v>
      </c>
      <c r="C446" s="585">
        <v>2.7</v>
      </c>
    </row>
    <row r="447" spans="1:3" x14ac:dyDescent="0.25">
      <c r="A447" t="s">
        <v>5614</v>
      </c>
      <c r="B447" s="585">
        <v>11.45</v>
      </c>
      <c r="C447" s="585">
        <v>2.7</v>
      </c>
    </row>
    <row r="448" spans="1:3" x14ac:dyDescent="0.25">
      <c r="A448" t="s">
        <v>5615</v>
      </c>
      <c r="B448" s="585">
        <v>11.45</v>
      </c>
      <c r="C448" s="585">
        <v>2.7</v>
      </c>
    </row>
    <row r="449" spans="1:3" x14ac:dyDescent="0.25">
      <c r="A449" t="s">
        <v>5616</v>
      </c>
      <c r="B449" s="585">
        <v>11.433333333333334</v>
      </c>
      <c r="C449" s="585">
        <v>2.7</v>
      </c>
    </row>
    <row r="450" spans="1:3" x14ac:dyDescent="0.25">
      <c r="A450" t="s">
        <v>5617</v>
      </c>
      <c r="B450" s="585">
        <v>11.433333333333334</v>
      </c>
      <c r="C450" s="585">
        <v>2.7</v>
      </c>
    </row>
    <row r="451" spans="1:3" x14ac:dyDescent="0.25">
      <c r="A451" t="s">
        <v>5618</v>
      </c>
      <c r="B451" s="585">
        <v>11.433333333333334</v>
      </c>
      <c r="C451" s="585">
        <v>2.7</v>
      </c>
    </row>
    <row r="452" spans="1:3" x14ac:dyDescent="0.25">
      <c r="A452" t="s">
        <v>5619</v>
      </c>
      <c r="B452" s="585">
        <v>11.45</v>
      </c>
      <c r="C452" s="585">
        <v>2.7</v>
      </c>
    </row>
    <row r="453" spans="1:3" x14ac:dyDescent="0.25">
      <c r="A453" t="s">
        <v>5620</v>
      </c>
      <c r="B453" s="585">
        <v>11.433333333333334</v>
      </c>
      <c r="C453" s="585">
        <v>2.7</v>
      </c>
    </row>
    <row r="454" spans="1:3" x14ac:dyDescent="0.25">
      <c r="A454" t="s">
        <v>5621</v>
      </c>
      <c r="B454" s="585">
        <v>11.433333333333334</v>
      </c>
      <c r="C454" s="585">
        <v>2.7</v>
      </c>
    </row>
    <row r="455" spans="1:3" x14ac:dyDescent="0.25">
      <c r="A455" t="s">
        <v>5622</v>
      </c>
      <c r="B455" s="585">
        <v>11.433333333333334</v>
      </c>
      <c r="C455" s="585">
        <v>2.7</v>
      </c>
    </row>
    <row r="456" spans="1:3" x14ac:dyDescent="0.25">
      <c r="A456" t="s">
        <v>5623</v>
      </c>
      <c r="B456" s="585">
        <v>11.433333333333334</v>
      </c>
      <c r="C456" s="585">
        <v>2.7</v>
      </c>
    </row>
    <row r="457" spans="1:3" x14ac:dyDescent="0.25">
      <c r="A457" t="s">
        <v>5624</v>
      </c>
      <c r="B457" s="585">
        <v>11.433333333333334</v>
      </c>
      <c r="C457" s="585">
        <v>2.7</v>
      </c>
    </row>
    <row r="458" spans="1:3" x14ac:dyDescent="0.25">
      <c r="A458" t="s">
        <v>5625</v>
      </c>
      <c r="B458" s="585">
        <v>11.433333333333334</v>
      </c>
      <c r="C458" s="585">
        <v>2.7</v>
      </c>
    </row>
    <row r="459" spans="1:3" x14ac:dyDescent="0.25">
      <c r="A459" t="s">
        <v>5626</v>
      </c>
      <c r="B459" s="585">
        <v>11.433333333333334</v>
      </c>
      <c r="C459" s="585">
        <v>2.7</v>
      </c>
    </row>
    <row r="460" spans="1:3" x14ac:dyDescent="0.25">
      <c r="A460" t="s">
        <v>5627</v>
      </c>
      <c r="B460" s="585">
        <v>11.433333333333334</v>
      </c>
      <c r="C460" s="585">
        <v>2.7</v>
      </c>
    </row>
    <row r="461" spans="1:3" x14ac:dyDescent="0.25">
      <c r="A461" t="s">
        <v>5628</v>
      </c>
      <c r="B461" s="585">
        <v>11.433333333333334</v>
      </c>
      <c r="C461" s="585">
        <v>2.7</v>
      </c>
    </row>
    <row r="462" spans="1:3" x14ac:dyDescent="0.25">
      <c r="A462" t="s">
        <v>5629</v>
      </c>
      <c r="B462" s="585">
        <v>11.433333333333334</v>
      </c>
      <c r="C462" s="585">
        <v>2.7</v>
      </c>
    </row>
    <row r="463" spans="1:3" x14ac:dyDescent="0.25">
      <c r="A463" t="s">
        <v>5630</v>
      </c>
      <c r="B463" s="585">
        <v>11.433333333333334</v>
      </c>
      <c r="C463" s="585">
        <v>2.7</v>
      </c>
    </row>
    <row r="464" spans="1:3" x14ac:dyDescent="0.25">
      <c r="A464" t="s">
        <v>5631</v>
      </c>
      <c r="B464" s="585">
        <v>11.45</v>
      </c>
      <c r="C464" s="585">
        <v>2.7</v>
      </c>
    </row>
    <row r="465" spans="1:3" x14ac:dyDescent="0.25">
      <c r="A465" t="s">
        <v>5632</v>
      </c>
      <c r="B465" s="585">
        <v>11.433333333333334</v>
      </c>
      <c r="C465" s="585">
        <v>2.7</v>
      </c>
    </row>
    <row r="466" spans="1:3" x14ac:dyDescent="0.25">
      <c r="A466" t="s">
        <v>5633</v>
      </c>
      <c r="B466" s="585">
        <v>11.433333333333334</v>
      </c>
      <c r="C466" s="585">
        <v>2.7</v>
      </c>
    </row>
    <row r="467" spans="1:3" x14ac:dyDescent="0.25">
      <c r="A467" t="s">
        <v>5634</v>
      </c>
      <c r="B467" s="585">
        <v>11.433333333333334</v>
      </c>
      <c r="C467" s="585">
        <v>2.7</v>
      </c>
    </row>
    <row r="468" spans="1:3" x14ac:dyDescent="0.25">
      <c r="A468" t="s">
        <v>5635</v>
      </c>
      <c r="B468" s="585">
        <v>11.433333333333334</v>
      </c>
      <c r="C468" s="585">
        <v>2.7</v>
      </c>
    </row>
    <row r="469" spans="1:3" x14ac:dyDescent="0.25">
      <c r="A469" t="s">
        <v>5636</v>
      </c>
      <c r="B469" s="585">
        <v>11.433333333333334</v>
      </c>
      <c r="C469" s="585">
        <v>2.7</v>
      </c>
    </row>
    <row r="470" spans="1:3" x14ac:dyDescent="0.25">
      <c r="A470" t="s">
        <v>5637</v>
      </c>
      <c r="B470" s="585">
        <v>11.433333333333334</v>
      </c>
      <c r="C470" s="585">
        <v>2.7</v>
      </c>
    </row>
    <row r="471" spans="1:3" x14ac:dyDescent="0.25">
      <c r="A471" t="s">
        <v>5638</v>
      </c>
      <c r="B471" s="585">
        <v>11.433333333333334</v>
      </c>
      <c r="C471" s="585">
        <v>2.7</v>
      </c>
    </row>
    <row r="472" spans="1:3" x14ac:dyDescent="0.25">
      <c r="A472" t="s">
        <v>5639</v>
      </c>
      <c r="B472" s="585">
        <v>11.433333333333334</v>
      </c>
      <c r="C472" s="585">
        <v>2.7</v>
      </c>
    </row>
    <row r="473" spans="1:3" x14ac:dyDescent="0.25">
      <c r="A473" t="s">
        <v>5640</v>
      </c>
      <c r="B473" s="585">
        <v>11.45</v>
      </c>
      <c r="C473" s="585">
        <v>2.7</v>
      </c>
    </row>
    <row r="474" spans="1:3" x14ac:dyDescent="0.25">
      <c r="A474" t="s">
        <v>5641</v>
      </c>
      <c r="B474" s="585">
        <v>11.45</v>
      </c>
      <c r="C474" s="585">
        <v>2.7</v>
      </c>
    </row>
    <row r="475" spans="1:3" x14ac:dyDescent="0.25">
      <c r="A475" t="s">
        <v>5642</v>
      </c>
      <c r="B475" s="585">
        <v>11.45</v>
      </c>
      <c r="C475" s="585">
        <v>2.7</v>
      </c>
    </row>
    <row r="476" spans="1:3" x14ac:dyDescent="0.25">
      <c r="A476" t="s">
        <v>5643</v>
      </c>
      <c r="B476" s="585">
        <v>11.45</v>
      </c>
      <c r="C476" s="585">
        <v>2.7</v>
      </c>
    </row>
    <row r="477" spans="1:3" x14ac:dyDescent="0.25">
      <c r="A477" t="s">
        <v>5644</v>
      </c>
      <c r="B477" s="585">
        <v>11.433333333333334</v>
      </c>
      <c r="C477" s="585">
        <v>2.7</v>
      </c>
    </row>
    <row r="478" spans="1:3" x14ac:dyDescent="0.25">
      <c r="A478" t="s">
        <v>5645</v>
      </c>
      <c r="B478" s="585">
        <v>11.433333333333334</v>
      </c>
      <c r="C478" s="585">
        <v>2.7</v>
      </c>
    </row>
    <row r="479" spans="1:3" x14ac:dyDescent="0.25">
      <c r="A479" t="s">
        <v>5646</v>
      </c>
      <c r="B479" s="585">
        <v>11.433333333333334</v>
      </c>
      <c r="C479" s="585">
        <v>2.7</v>
      </c>
    </row>
    <row r="480" spans="1:3" x14ac:dyDescent="0.25">
      <c r="A480" t="s">
        <v>5647</v>
      </c>
      <c r="B480" s="585">
        <v>11.433333333333334</v>
      </c>
      <c r="C480" s="585">
        <v>2.7</v>
      </c>
    </row>
    <row r="481" spans="1:3" x14ac:dyDescent="0.25">
      <c r="A481" t="s">
        <v>5648</v>
      </c>
      <c r="B481" s="585">
        <v>11.433333333333334</v>
      </c>
      <c r="C481" s="585">
        <v>2.7</v>
      </c>
    </row>
    <row r="482" spans="1:3" x14ac:dyDescent="0.25">
      <c r="A482" t="s">
        <v>5649</v>
      </c>
      <c r="B482" s="585">
        <v>11.433333333333334</v>
      </c>
      <c r="C482" s="585">
        <v>2.7</v>
      </c>
    </row>
    <row r="483" spans="1:3" x14ac:dyDescent="0.25">
      <c r="A483" t="s">
        <v>5650</v>
      </c>
      <c r="B483" s="585">
        <v>11.433333333333334</v>
      </c>
      <c r="C483" s="585">
        <v>2.7</v>
      </c>
    </row>
    <row r="484" spans="1:3" x14ac:dyDescent="0.25">
      <c r="A484" t="s">
        <v>5651</v>
      </c>
      <c r="B484" s="585">
        <v>11.433333333333334</v>
      </c>
      <c r="C484" s="585">
        <v>2.7</v>
      </c>
    </row>
    <row r="485" spans="1:3" x14ac:dyDescent="0.25">
      <c r="A485" t="s">
        <v>5652</v>
      </c>
      <c r="B485" s="585">
        <v>11.433333333333334</v>
      </c>
      <c r="C485" s="585">
        <v>2.7</v>
      </c>
    </row>
    <row r="486" spans="1:3" x14ac:dyDescent="0.25">
      <c r="A486" t="s">
        <v>5653</v>
      </c>
      <c r="B486" s="585">
        <v>11.433333333333334</v>
      </c>
      <c r="C486" s="585">
        <v>2.7</v>
      </c>
    </row>
    <row r="487" spans="1:3" x14ac:dyDescent="0.25">
      <c r="A487" t="s">
        <v>5654</v>
      </c>
      <c r="B487" s="585">
        <v>11.45</v>
      </c>
      <c r="C487" s="585">
        <v>2.7</v>
      </c>
    </row>
    <row r="488" spans="1:3" x14ac:dyDescent="0.25">
      <c r="A488" t="s">
        <v>5655</v>
      </c>
      <c r="B488" s="585">
        <v>11.433333333333334</v>
      </c>
      <c r="C488" s="585">
        <v>2.7</v>
      </c>
    </row>
    <row r="489" spans="1:3" x14ac:dyDescent="0.25">
      <c r="A489" t="s">
        <v>5656</v>
      </c>
      <c r="B489" s="585">
        <v>11.45</v>
      </c>
      <c r="C489" s="585">
        <v>2.7</v>
      </c>
    </row>
    <row r="490" spans="1:3" x14ac:dyDescent="0.25">
      <c r="A490" t="s">
        <v>5657</v>
      </c>
      <c r="B490" s="585">
        <v>11.45</v>
      </c>
      <c r="C490" s="585">
        <v>2.7</v>
      </c>
    </row>
    <row r="491" spans="1:3" x14ac:dyDescent="0.25">
      <c r="A491" t="s">
        <v>5658</v>
      </c>
      <c r="B491" s="585">
        <v>11.45</v>
      </c>
      <c r="C491" s="585">
        <v>2.7</v>
      </c>
    </row>
    <row r="492" spans="1:3" x14ac:dyDescent="0.25">
      <c r="A492" t="s">
        <v>5659</v>
      </c>
      <c r="B492" s="585">
        <v>11.433333333333334</v>
      </c>
      <c r="C492" s="585">
        <v>2.7</v>
      </c>
    </row>
    <row r="493" spans="1:3" x14ac:dyDescent="0.25">
      <c r="A493" t="s">
        <v>5660</v>
      </c>
      <c r="B493" s="585">
        <v>11.433333333333334</v>
      </c>
      <c r="C493" s="585">
        <v>2.7</v>
      </c>
    </row>
    <row r="494" spans="1:3" x14ac:dyDescent="0.25">
      <c r="A494" t="s">
        <v>5661</v>
      </c>
      <c r="B494" s="585">
        <v>11.433333333333334</v>
      </c>
      <c r="C494" s="585">
        <v>2.7</v>
      </c>
    </row>
    <row r="495" spans="1:3" x14ac:dyDescent="0.25">
      <c r="A495" t="s">
        <v>5662</v>
      </c>
      <c r="B495" s="585">
        <v>11.433333333333334</v>
      </c>
      <c r="C495" s="585">
        <v>2.7</v>
      </c>
    </row>
    <row r="496" spans="1:3" x14ac:dyDescent="0.25">
      <c r="A496" t="s">
        <v>5663</v>
      </c>
      <c r="B496" s="585">
        <v>11.433333333333334</v>
      </c>
      <c r="C496" s="585">
        <v>2.7</v>
      </c>
    </row>
    <row r="497" spans="1:3" x14ac:dyDescent="0.25">
      <c r="A497" t="s">
        <v>5664</v>
      </c>
      <c r="B497" s="585">
        <v>11.433333333333334</v>
      </c>
      <c r="C497" s="585">
        <v>2.7</v>
      </c>
    </row>
    <row r="498" spans="1:3" x14ac:dyDescent="0.25">
      <c r="A498" t="s">
        <v>5665</v>
      </c>
      <c r="B498" s="585">
        <v>11.45</v>
      </c>
      <c r="C498" s="585">
        <v>2.7</v>
      </c>
    </row>
    <row r="499" spans="1:3" x14ac:dyDescent="0.25">
      <c r="A499" t="s">
        <v>5666</v>
      </c>
      <c r="B499" s="585">
        <v>11.45</v>
      </c>
      <c r="C499" s="585">
        <v>2.7</v>
      </c>
    </row>
    <row r="500" spans="1:3" x14ac:dyDescent="0.25">
      <c r="A500" t="s">
        <v>5667</v>
      </c>
      <c r="B500" s="585">
        <v>11.45</v>
      </c>
      <c r="C500" s="585">
        <v>2.7</v>
      </c>
    </row>
    <row r="501" spans="1:3" x14ac:dyDescent="0.25">
      <c r="A501" t="s">
        <v>5668</v>
      </c>
      <c r="B501" s="585">
        <v>11.433333333333334</v>
      </c>
      <c r="C501" s="585">
        <v>2.7</v>
      </c>
    </row>
    <row r="502" spans="1:3" x14ac:dyDescent="0.25">
      <c r="A502" t="s">
        <v>5669</v>
      </c>
      <c r="B502" s="585">
        <v>11.433333333333334</v>
      </c>
      <c r="C502" s="585">
        <v>2.7</v>
      </c>
    </row>
    <row r="503" spans="1:3" x14ac:dyDescent="0.25">
      <c r="A503" t="s">
        <v>5670</v>
      </c>
      <c r="B503" s="585">
        <v>11.433333333333334</v>
      </c>
      <c r="C503" s="585">
        <v>2.7</v>
      </c>
    </row>
    <row r="504" spans="1:3" x14ac:dyDescent="0.25">
      <c r="A504" t="s">
        <v>5671</v>
      </c>
      <c r="B504" s="585">
        <v>11.433333333333334</v>
      </c>
      <c r="C504" s="585">
        <v>2.7</v>
      </c>
    </row>
    <row r="505" spans="1:3" x14ac:dyDescent="0.25">
      <c r="A505" t="s">
        <v>5672</v>
      </c>
      <c r="B505" s="585">
        <v>11.45</v>
      </c>
      <c r="C505" s="585">
        <v>2.7</v>
      </c>
    </row>
    <row r="506" spans="1:3" x14ac:dyDescent="0.25">
      <c r="A506" t="s">
        <v>5673</v>
      </c>
      <c r="B506" s="585">
        <v>11.433333333333334</v>
      </c>
      <c r="C506" s="585">
        <v>2.7</v>
      </c>
    </row>
    <row r="507" spans="1:3" x14ac:dyDescent="0.25">
      <c r="A507" t="s">
        <v>5674</v>
      </c>
      <c r="B507" s="585">
        <v>11.433333333333334</v>
      </c>
      <c r="C507" s="585">
        <v>2.7</v>
      </c>
    </row>
    <row r="508" spans="1:3" x14ac:dyDescent="0.25">
      <c r="A508" t="s">
        <v>5675</v>
      </c>
      <c r="B508" s="585">
        <v>11.433333333333334</v>
      </c>
      <c r="C508" s="585">
        <v>2.7</v>
      </c>
    </row>
    <row r="509" spans="1:3" x14ac:dyDescent="0.25">
      <c r="A509" t="s">
        <v>5676</v>
      </c>
      <c r="B509" s="585">
        <v>11.433333333333334</v>
      </c>
      <c r="C509" s="585">
        <v>2.7</v>
      </c>
    </row>
    <row r="510" spans="1:3" x14ac:dyDescent="0.25">
      <c r="A510" t="s">
        <v>5677</v>
      </c>
      <c r="B510" s="585">
        <v>11.433333333333334</v>
      </c>
      <c r="C510" s="585">
        <v>2.7</v>
      </c>
    </row>
    <row r="511" spans="1:3" x14ac:dyDescent="0.25">
      <c r="A511" t="s">
        <v>5678</v>
      </c>
      <c r="B511" s="585">
        <v>11.433333333333334</v>
      </c>
      <c r="C511" s="585">
        <v>2.7</v>
      </c>
    </row>
    <row r="512" spans="1:3" x14ac:dyDescent="0.25">
      <c r="A512" t="s">
        <v>5679</v>
      </c>
      <c r="B512" s="585">
        <v>11.433333333333334</v>
      </c>
      <c r="C512" s="585">
        <v>2.7</v>
      </c>
    </row>
    <row r="513" spans="1:3" x14ac:dyDescent="0.25">
      <c r="A513" t="s">
        <v>5680</v>
      </c>
      <c r="B513" s="585">
        <v>11.433333333333334</v>
      </c>
      <c r="C513" s="585">
        <v>2.7</v>
      </c>
    </row>
    <row r="514" spans="1:3" x14ac:dyDescent="0.25">
      <c r="A514" t="s">
        <v>5681</v>
      </c>
      <c r="B514" s="585">
        <v>11.433333333333334</v>
      </c>
      <c r="C514" s="585">
        <v>2.7</v>
      </c>
    </row>
    <row r="515" spans="1:3" x14ac:dyDescent="0.25">
      <c r="A515" t="s">
        <v>5682</v>
      </c>
      <c r="B515" s="585">
        <v>11.433333333333334</v>
      </c>
      <c r="C515" s="585">
        <v>2.7</v>
      </c>
    </row>
    <row r="516" spans="1:3" x14ac:dyDescent="0.25">
      <c r="A516" t="s">
        <v>5683</v>
      </c>
      <c r="B516" s="585">
        <v>11.433333333333334</v>
      </c>
      <c r="C516" s="585">
        <v>2.7</v>
      </c>
    </row>
    <row r="517" spans="1:3" x14ac:dyDescent="0.25">
      <c r="A517" t="s">
        <v>5684</v>
      </c>
      <c r="B517" s="585">
        <v>11.433333333333334</v>
      </c>
      <c r="C517" s="585">
        <v>2.7</v>
      </c>
    </row>
    <row r="518" spans="1:3" x14ac:dyDescent="0.25">
      <c r="A518" t="s">
        <v>5685</v>
      </c>
      <c r="B518" s="585">
        <v>11.45</v>
      </c>
      <c r="C518" s="585">
        <v>2.7</v>
      </c>
    </row>
    <row r="519" spans="1:3" x14ac:dyDescent="0.25">
      <c r="A519" t="s">
        <v>5686</v>
      </c>
      <c r="B519" s="585">
        <v>11.433333333333334</v>
      </c>
      <c r="C519" s="585">
        <v>2.7</v>
      </c>
    </row>
    <row r="520" spans="1:3" x14ac:dyDescent="0.25">
      <c r="A520" t="s">
        <v>5687</v>
      </c>
      <c r="B520" s="585">
        <v>11.433333333333334</v>
      </c>
      <c r="C520" s="585">
        <v>2.7</v>
      </c>
    </row>
    <row r="521" spans="1:3" x14ac:dyDescent="0.25">
      <c r="A521" t="s">
        <v>5688</v>
      </c>
      <c r="B521" s="585">
        <v>11.45</v>
      </c>
      <c r="C521" s="585">
        <v>2.7</v>
      </c>
    </row>
    <row r="522" spans="1:3" x14ac:dyDescent="0.25">
      <c r="A522" t="s">
        <v>5689</v>
      </c>
      <c r="B522" s="585">
        <v>11.433333333333334</v>
      </c>
      <c r="C522" s="585">
        <v>2.7</v>
      </c>
    </row>
    <row r="523" spans="1:3" x14ac:dyDescent="0.25">
      <c r="A523" t="s">
        <v>5690</v>
      </c>
      <c r="B523" s="585">
        <v>11.433333333333334</v>
      </c>
      <c r="C523" s="585">
        <v>2.7</v>
      </c>
    </row>
    <row r="524" spans="1:3" x14ac:dyDescent="0.25">
      <c r="A524" t="s">
        <v>5691</v>
      </c>
      <c r="B524" s="585">
        <v>11.433333333333334</v>
      </c>
      <c r="C524" s="585">
        <v>2.7</v>
      </c>
    </row>
    <row r="525" spans="1:3" x14ac:dyDescent="0.25">
      <c r="A525" t="s">
        <v>5692</v>
      </c>
      <c r="B525" s="585">
        <v>11.45</v>
      </c>
      <c r="C525" s="585">
        <v>2.7</v>
      </c>
    </row>
    <row r="526" spans="1:3" x14ac:dyDescent="0.25">
      <c r="A526" t="s">
        <v>5693</v>
      </c>
      <c r="B526" s="585">
        <v>11.433333333333334</v>
      </c>
      <c r="C526" s="585">
        <v>2.7</v>
      </c>
    </row>
    <row r="527" spans="1:3" x14ac:dyDescent="0.25">
      <c r="A527" t="s">
        <v>5694</v>
      </c>
      <c r="B527" s="585">
        <v>11.433333333333334</v>
      </c>
      <c r="C527" s="585">
        <v>2.7</v>
      </c>
    </row>
    <row r="528" spans="1:3" x14ac:dyDescent="0.25">
      <c r="A528" t="s">
        <v>5695</v>
      </c>
      <c r="B528" s="585">
        <v>11.45</v>
      </c>
      <c r="C528" s="585">
        <v>2.7</v>
      </c>
    </row>
    <row r="529" spans="1:3" x14ac:dyDescent="0.25">
      <c r="A529" t="s">
        <v>5696</v>
      </c>
      <c r="B529" s="585">
        <v>11.433333333333334</v>
      </c>
      <c r="C529" s="585">
        <v>2.7</v>
      </c>
    </row>
    <row r="530" spans="1:3" x14ac:dyDescent="0.25">
      <c r="A530" t="s">
        <v>5697</v>
      </c>
      <c r="B530" s="585">
        <v>11.433333333333334</v>
      </c>
      <c r="C530" s="585">
        <v>2.7</v>
      </c>
    </row>
    <row r="531" spans="1:3" x14ac:dyDescent="0.25">
      <c r="A531" t="s">
        <v>5698</v>
      </c>
      <c r="B531" s="585">
        <v>11.433333333333334</v>
      </c>
      <c r="C531" s="585">
        <v>2.7</v>
      </c>
    </row>
    <row r="532" spans="1:3" x14ac:dyDescent="0.25">
      <c r="A532" t="s">
        <v>5699</v>
      </c>
      <c r="B532" s="585">
        <v>11.433333333333334</v>
      </c>
      <c r="C532" s="585">
        <v>2.7</v>
      </c>
    </row>
    <row r="533" spans="1:3" x14ac:dyDescent="0.25">
      <c r="A533" t="s">
        <v>5700</v>
      </c>
      <c r="B533" s="585">
        <v>11.45</v>
      </c>
      <c r="C533" s="585">
        <v>2.7</v>
      </c>
    </row>
    <row r="534" spans="1:3" x14ac:dyDescent="0.25">
      <c r="A534" t="s">
        <v>5701</v>
      </c>
      <c r="B534" s="585">
        <v>11.433333333333334</v>
      </c>
      <c r="C534" s="585">
        <v>2.7</v>
      </c>
    </row>
    <row r="535" spans="1:3" x14ac:dyDescent="0.25">
      <c r="A535" t="s">
        <v>5702</v>
      </c>
      <c r="B535" s="585">
        <v>11.45</v>
      </c>
      <c r="C535" s="585">
        <v>2.7</v>
      </c>
    </row>
    <row r="536" spans="1:3" x14ac:dyDescent="0.25">
      <c r="A536" t="s">
        <v>5703</v>
      </c>
      <c r="B536" s="585">
        <v>11.433333333333334</v>
      </c>
      <c r="C536" s="585">
        <v>2.7</v>
      </c>
    </row>
    <row r="537" spans="1:3" x14ac:dyDescent="0.25">
      <c r="A537" t="s">
        <v>5704</v>
      </c>
      <c r="B537" s="585">
        <v>11.45</v>
      </c>
      <c r="C537" s="585">
        <v>2.7</v>
      </c>
    </row>
    <row r="538" spans="1:3" x14ac:dyDescent="0.25">
      <c r="A538" t="s">
        <v>5705</v>
      </c>
      <c r="B538" s="585">
        <v>11.45</v>
      </c>
      <c r="C538" s="585">
        <v>2.7</v>
      </c>
    </row>
    <row r="539" spans="1:3" x14ac:dyDescent="0.25">
      <c r="A539" t="s">
        <v>5706</v>
      </c>
      <c r="B539" s="585">
        <v>11.433333333333334</v>
      </c>
      <c r="C539" s="585">
        <v>2.7</v>
      </c>
    </row>
    <row r="540" spans="1:3" x14ac:dyDescent="0.25">
      <c r="A540" t="s">
        <v>5707</v>
      </c>
      <c r="B540" s="585">
        <v>11.45</v>
      </c>
      <c r="C540" s="585">
        <v>2.7</v>
      </c>
    </row>
    <row r="541" spans="1:3" x14ac:dyDescent="0.25">
      <c r="A541" t="s">
        <v>5708</v>
      </c>
      <c r="B541" s="585">
        <v>11.45</v>
      </c>
      <c r="C541" s="585">
        <v>2.7</v>
      </c>
    </row>
    <row r="542" spans="1:3" x14ac:dyDescent="0.25">
      <c r="A542" t="s">
        <v>5709</v>
      </c>
      <c r="B542" s="585">
        <v>11.433333333333334</v>
      </c>
      <c r="C542" s="585">
        <v>2.7</v>
      </c>
    </row>
    <row r="543" spans="1:3" x14ac:dyDescent="0.25">
      <c r="A543" t="s">
        <v>5710</v>
      </c>
      <c r="B543" s="585">
        <v>11.433333333333334</v>
      </c>
      <c r="C543" s="585">
        <v>2.7</v>
      </c>
    </row>
    <row r="544" spans="1:3" x14ac:dyDescent="0.25">
      <c r="A544" t="s">
        <v>5711</v>
      </c>
      <c r="B544" s="585">
        <v>11.433333333333334</v>
      </c>
      <c r="C544" s="585">
        <v>2.7</v>
      </c>
    </row>
    <row r="545" spans="1:3" x14ac:dyDescent="0.25">
      <c r="A545" t="s">
        <v>5712</v>
      </c>
      <c r="B545" s="585">
        <v>11.45</v>
      </c>
      <c r="C545" s="585">
        <v>2.7</v>
      </c>
    </row>
    <row r="546" spans="1:3" x14ac:dyDescent="0.25">
      <c r="A546" t="s">
        <v>5713</v>
      </c>
      <c r="B546" s="585">
        <v>11.433333333333334</v>
      </c>
      <c r="C546" s="585">
        <v>2.7</v>
      </c>
    </row>
    <row r="547" spans="1:3" x14ac:dyDescent="0.25">
      <c r="A547" t="s">
        <v>5714</v>
      </c>
      <c r="B547" s="585">
        <v>11.433333333333334</v>
      </c>
      <c r="C547" s="585">
        <v>2.7</v>
      </c>
    </row>
    <row r="548" spans="1:3" x14ac:dyDescent="0.25">
      <c r="A548" t="s">
        <v>5715</v>
      </c>
      <c r="B548" s="585">
        <v>11.433333333333334</v>
      </c>
      <c r="C548" s="585">
        <v>2.7</v>
      </c>
    </row>
    <row r="549" spans="1:3" x14ac:dyDescent="0.25">
      <c r="A549" t="s">
        <v>5716</v>
      </c>
      <c r="B549" s="585">
        <v>11.45</v>
      </c>
      <c r="C549" s="585">
        <v>2.7</v>
      </c>
    </row>
    <row r="550" spans="1:3" x14ac:dyDescent="0.25">
      <c r="A550" t="s">
        <v>5717</v>
      </c>
      <c r="B550" s="585">
        <v>11.433333333333334</v>
      </c>
      <c r="C550" s="585">
        <v>2.7</v>
      </c>
    </row>
    <row r="551" spans="1:3" x14ac:dyDescent="0.25">
      <c r="A551" t="s">
        <v>5718</v>
      </c>
      <c r="B551" s="585">
        <v>11.433333333333334</v>
      </c>
      <c r="C551" s="585">
        <v>2.7</v>
      </c>
    </row>
    <row r="552" spans="1:3" x14ac:dyDescent="0.25">
      <c r="A552" t="s">
        <v>5719</v>
      </c>
      <c r="B552" s="585">
        <v>11.433333333333334</v>
      </c>
      <c r="C552" s="585">
        <v>2.7</v>
      </c>
    </row>
    <row r="553" spans="1:3" x14ac:dyDescent="0.25">
      <c r="A553" t="s">
        <v>5720</v>
      </c>
      <c r="B553" s="585">
        <v>11.433333333333334</v>
      </c>
      <c r="C553" s="585">
        <v>2.7</v>
      </c>
    </row>
    <row r="554" spans="1:3" x14ac:dyDescent="0.25">
      <c r="A554" t="s">
        <v>5721</v>
      </c>
      <c r="B554" s="585">
        <v>11.433333333333334</v>
      </c>
      <c r="C554" s="585">
        <v>2.7</v>
      </c>
    </row>
    <row r="555" spans="1:3" x14ac:dyDescent="0.25">
      <c r="A555" t="s">
        <v>5722</v>
      </c>
      <c r="B555" s="585">
        <v>11.433333333333334</v>
      </c>
      <c r="C555" s="585">
        <v>2.7</v>
      </c>
    </row>
    <row r="556" spans="1:3" x14ac:dyDescent="0.25">
      <c r="A556" t="s">
        <v>5723</v>
      </c>
      <c r="B556" s="585">
        <v>11.433333333333334</v>
      </c>
      <c r="C556" s="585">
        <v>2.7</v>
      </c>
    </row>
    <row r="557" spans="1:3" x14ac:dyDescent="0.25">
      <c r="A557" t="s">
        <v>5724</v>
      </c>
      <c r="B557" s="585">
        <v>11.433333333333334</v>
      </c>
      <c r="C557" s="585">
        <v>2.7</v>
      </c>
    </row>
    <row r="558" spans="1:3" x14ac:dyDescent="0.25">
      <c r="A558" t="s">
        <v>5725</v>
      </c>
      <c r="B558" s="585">
        <v>11.45</v>
      </c>
      <c r="C558" s="585">
        <v>2.7</v>
      </c>
    </row>
    <row r="559" spans="1:3" x14ac:dyDescent="0.25">
      <c r="A559" t="s">
        <v>5726</v>
      </c>
      <c r="B559" s="585">
        <v>11.433333333333334</v>
      </c>
      <c r="C559" s="585">
        <v>2.7</v>
      </c>
    </row>
    <row r="560" spans="1:3" x14ac:dyDescent="0.25">
      <c r="A560" t="s">
        <v>5727</v>
      </c>
      <c r="B560" s="585">
        <v>11.433333333333334</v>
      </c>
      <c r="C560" s="585">
        <v>2.7</v>
      </c>
    </row>
    <row r="561" spans="1:3" x14ac:dyDescent="0.25">
      <c r="A561" t="s">
        <v>5728</v>
      </c>
      <c r="B561" s="585">
        <v>11.433333333333334</v>
      </c>
      <c r="C561" s="585">
        <v>2.7</v>
      </c>
    </row>
    <row r="562" spans="1:3" x14ac:dyDescent="0.25">
      <c r="A562" t="s">
        <v>5729</v>
      </c>
      <c r="B562" s="585">
        <v>11.433333333333334</v>
      </c>
      <c r="C562" s="585">
        <v>2.7</v>
      </c>
    </row>
    <row r="563" spans="1:3" x14ac:dyDescent="0.25">
      <c r="A563" t="s">
        <v>5730</v>
      </c>
      <c r="B563" s="585">
        <v>11.433333333333334</v>
      </c>
      <c r="C563" s="585">
        <v>2.7</v>
      </c>
    </row>
    <row r="564" spans="1:3" x14ac:dyDescent="0.25">
      <c r="A564" t="s">
        <v>5731</v>
      </c>
      <c r="B564" s="585">
        <v>11.433333333333334</v>
      </c>
      <c r="C564" s="585">
        <v>2.7</v>
      </c>
    </row>
    <row r="565" spans="1:3" x14ac:dyDescent="0.25">
      <c r="A565" t="s">
        <v>5732</v>
      </c>
      <c r="B565" s="585">
        <v>11.433333333333334</v>
      </c>
      <c r="C565" s="585">
        <v>2.7</v>
      </c>
    </row>
    <row r="566" spans="1:3" x14ac:dyDescent="0.25">
      <c r="A566" t="s">
        <v>5733</v>
      </c>
      <c r="B566" s="585">
        <v>11.433333333333334</v>
      </c>
      <c r="C566" s="585">
        <v>2.7</v>
      </c>
    </row>
    <row r="567" spans="1:3" x14ac:dyDescent="0.25">
      <c r="A567" t="s">
        <v>5734</v>
      </c>
      <c r="B567" s="585">
        <v>11.433333333333334</v>
      </c>
      <c r="C567" s="585">
        <v>2.7</v>
      </c>
    </row>
    <row r="568" spans="1:3" x14ac:dyDescent="0.25">
      <c r="A568" t="s">
        <v>5735</v>
      </c>
      <c r="B568" s="585">
        <v>11.433333333333334</v>
      </c>
      <c r="C568" s="585">
        <v>2.7</v>
      </c>
    </row>
    <row r="569" spans="1:3" x14ac:dyDescent="0.25">
      <c r="A569" t="s">
        <v>5736</v>
      </c>
      <c r="B569" s="585">
        <v>11.433333333333334</v>
      </c>
      <c r="C569" s="585">
        <v>2.7</v>
      </c>
    </row>
    <row r="570" spans="1:3" x14ac:dyDescent="0.25">
      <c r="A570" t="s">
        <v>5737</v>
      </c>
      <c r="B570" s="585">
        <v>11.433333333333334</v>
      </c>
      <c r="C570" s="585">
        <v>2.7</v>
      </c>
    </row>
    <row r="571" spans="1:3" x14ac:dyDescent="0.25">
      <c r="A571" t="s">
        <v>5738</v>
      </c>
      <c r="B571" s="585">
        <v>11.45</v>
      </c>
      <c r="C571" s="585">
        <v>2.7</v>
      </c>
    </row>
    <row r="572" spans="1:3" x14ac:dyDescent="0.25">
      <c r="A572" t="s">
        <v>5739</v>
      </c>
      <c r="B572" s="585">
        <v>11.433333333333334</v>
      </c>
      <c r="C572" s="585">
        <v>2.7</v>
      </c>
    </row>
    <row r="573" spans="1:3" x14ac:dyDescent="0.25">
      <c r="A573" t="s">
        <v>5740</v>
      </c>
      <c r="B573" s="585">
        <v>11.45</v>
      </c>
      <c r="C573" s="585">
        <v>2.7</v>
      </c>
    </row>
    <row r="574" spans="1:3" x14ac:dyDescent="0.25">
      <c r="A574" t="s">
        <v>5741</v>
      </c>
      <c r="B574" s="585">
        <v>11.433333333333334</v>
      </c>
      <c r="C574" s="585">
        <v>2.7</v>
      </c>
    </row>
    <row r="575" spans="1:3" x14ac:dyDescent="0.25">
      <c r="A575" t="s">
        <v>5742</v>
      </c>
      <c r="B575" s="585">
        <v>11.45</v>
      </c>
      <c r="C575" s="585">
        <v>2.7</v>
      </c>
    </row>
    <row r="576" spans="1:3" x14ac:dyDescent="0.25">
      <c r="A576" t="s">
        <v>5743</v>
      </c>
      <c r="B576" s="585">
        <v>11.433333333333334</v>
      </c>
      <c r="C576" s="585">
        <v>2.7</v>
      </c>
    </row>
    <row r="577" spans="1:3" x14ac:dyDescent="0.25">
      <c r="A577" t="s">
        <v>5744</v>
      </c>
      <c r="B577" s="585">
        <v>11.433333333333334</v>
      </c>
      <c r="C577" s="585">
        <v>2.7</v>
      </c>
    </row>
    <row r="578" spans="1:3" x14ac:dyDescent="0.25">
      <c r="A578" t="s">
        <v>5745</v>
      </c>
      <c r="B578" s="585">
        <v>11.433333333333334</v>
      </c>
      <c r="C578" s="585">
        <v>2.7</v>
      </c>
    </row>
    <row r="579" spans="1:3" x14ac:dyDescent="0.25">
      <c r="A579" t="s">
        <v>5746</v>
      </c>
      <c r="B579" s="585">
        <v>11.433333333333334</v>
      </c>
      <c r="C579" s="585">
        <v>2.7</v>
      </c>
    </row>
    <row r="580" spans="1:3" x14ac:dyDescent="0.25">
      <c r="A580" t="s">
        <v>5747</v>
      </c>
      <c r="B580" s="585">
        <v>11.45</v>
      </c>
      <c r="C580" s="585">
        <v>2.7</v>
      </c>
    </row>
    <row r="581" spans="1:3" x14ac:dyDescent="0.25">
      <c r="A581" t="s">
        <v>5748</v>
      </c>
      <c r="B581" s="585">
        <v>11.433333333333334</v>
      </c>
      <c r="C581" s="585">
        <v>2.7</v>
      </c>
    </row>
    <row r="582" spans="1:3" x14ac:dyDescent="0.25">
      <c r="A582" t="s">
        <v>5749</v>
      </c>
      <c r="B582" s="585">
        <v>11.433333333333334</v>
      </c>
      <c r="C582" s="585">
        <v>2.7</v>
      </c>
    </row>
    <row r="583" spans="1:3" x14ac:dyDescent="0.25">
      <c r="A583" t="s">
        <v>5750</v>
      </c>
      <c r="B583" s="585" t="e">
        <v>#N/A</v>
      </c>
      <c r="C583" s="585">
        <v>2.7</v>
      </c>
    </row>
    <row r="584" spans="1:3" x14ac:dyDescent="0.25">
      <c r="A584" t="s">
        <v>5751</v>
      </c>
      <c r="B584" s="585">
        <v>11.433333333333334</v>
      </c>
      <c r="C584" s="585">
        <v>2.7</v>
      </c>
    </row>
    <row r="585" spans="1:3" x14ac:dyDescent="0.25">
      <c r="A585" t="s">
        <v>5752</v>
      </c>
      <c r="B585" s="585">
        <v>11.433333333333334</v>
      </c>
      <c r="C585" s="585">
        <v>2.7</v>
      </c>
    </row>
    <row r="586" spans="1:3" x14ac:dyDescent="0.25">
      <c r="A586" t="s">
        <v>5753</v>
      </c>
      <c r="B586" s="585">
        <v>11.433333333333334</v>
      </c>
      <c r="C586" s="585">
        <v>2.7</v>
      </c>
    </row>
    <row r="587" spans="1:3" x14ac:dyDescent="0.25">
      <c r="A587" t="s">
        <v>5754</v>
      </c>
      <c r="B587" s="585">
        <v>11.433333333333334</v>
      </c>
      <c r="C587" s="585">
        <v>2.7</v>
      </c>
    </row>
    <row r="588" spans="1:3" x14ac:dyDescent="0.25">
      <c r="A588" t="s">
        <v>5755</v>
      </c>
      <c r="B588" s="585">
        <v>11.433333333333334</v>
      </c>
      <c r="C588" s="585">
        <v>2.7</v>
      </c>
    </row>
    <row r="589" spans="1:3" x14ac:dyDescent="0.25">
      <c r="A589" t="s">
        <v>5756</v>
      </c>
      <c r="B589" s="585">
        <v>11.433333333333334</v>
      </c>
      <c r="C589" s="585">
        <v>2.7</v>
      </c>
    </row>
    <row r="590" spans="1:3" x14ac:dyDescent="0.25">
      <c r="A590" t="s">
        <v>5757</v>
      </c>
      <c r="B590" s="585">
        <v>11.433333333333334</v>
      </c>
      <c r="C590" s="585">
        <v>2.7</v>
      </c>
    </row>
    <row r="591" spans="1:3" x14ac:dyDescent="0.25">
      <c r="A591" t="s">
        <v>5758</v>
      </c>
      <c r="B591" s="585">
        <v>11.433333333333334</v>
      </c>
      <c r="C591" s="585">
        <v>2.7</v>
      </c>
    </row>
    <row r="592" spans="1:3" x14ac:dyDescent="0.25">
      <c r="A592" t="s">
        <v>5759</v>
      </c>
      <c r="B592" s="585">
        <v>11.433333333333334</v>
      </c>
      <c r="C592" s="585">
        <v>2.7</v>
      </c>
    </row>
    <row r="593" spans="1:3" x14ac:dyDescent="0.25">
      <c r="A593" t="s">
        <v>5760</v>
      </c>
      <c r="B593" s="585">
        <v>11.433333333333334</v>
      </c>
      <c r="C593" s="585">
        <v>2.7</v>
      </c>
    </row>
    <row r="594" spans="1:3" x14ac:dyDescent="0.25">
      <c r="A594" t="s">
        <v>5761</v>
      </c>
      <c r="B594" s="585">
        <v>11.45</v>
      </c>
      <c r="C594" s="585">
        <v>2.7</v>
      </c>
    </row>
    <row r="595" spans="1:3" x14ac:dyDescent="0.25">
      <c r="A595" t="s">
        <v>5762</v>
      </c>
      <c r="B595" s="585">
        <v>11.45</v>
      </c>
      <c r="C595" s="585">
        <v>2.7</v>
      </c>
    </row>
    <row r="596" spans="1:3" x14ac:dyDescent="0.25">
      <c r="A596" t="s">
        <v>5763</v>
      </c>
      <c r="B596" s="585">
        <v>11.45</v>
      </c>
      <c r="C596" s="585">
        <v>2.7</v>
      </c>
    </row>
    <row r="597" spans="1:3" x14ac:dyDescent="0.25">
      <c r="A597" t="s">
        <v>5764</v>
      </c>
      <c r="B597" s="585">
        <v>11.433333333333334</v>
      </c>
      <c r="C597" s="585">
        <v>2.7</v>
      </c>
    </row>
    <row r="598" spans="1:3" x14ac:dyDescent="0.25">
      <c r="A598" t="s">
        <v>5765</v>
      </c>
      <c r="B598" s="585">
        <v>11.433333333333334</v>
      </c>
      <c r="C598" s="585">
        <v>2.7</v>
      </c>
    </row>
    <row r="599" spans="1:3" x14ac:dyDescent="0.25">
      <c r="A599" t="s">
        <v>5766</v>
      </c>
      <c r="B599" s="585">
        <v>11.433333333333334</v>
      </c>
      <c r="C599" s="585">
        <v>2.7</v>
      </c>
    </row>
    <row r="600" spans="1:3" x14ac:dyDescent="0.25">
      <c r="A600" t="s">
        <v>5767</v>
      </c>
      <c r="B600" s="585">
        <v>11.433333333333334</v>
      </c>
      <c r="C600" s="585">
        <v>2.7</v>
      </c>
    </row>
    <row r="601" spans="1:3" x14ac:dyDescent="0.25">
      <c r="A601" t="s">
        <v>5768</v>
      </c>
      <c r="B601" s="585">
        <v>11.433333333333334</v>
      </c>
      <c r="C601" s="585">
        <v>2.7</v>
      </c>
    </row>
    <row r="602" spans="1:3" x14ac:dyDescent="0.25">
      <c r="A602" t="s">
        <v>5769</v>
      </c>
      <c r="B602" s="585">
        <v>11.433333333333334</v>
      </c>
      <c r="C602" s="585">
        <v>2.7</v>
      </c>
    </row>
    <row r="603" spans="1:3" x14ac:dyDescent="0.25">
      <c r="A603" t="s">
        <v>5770</v>
      </c>
      <c r="B603" s="585">
        <v>11.433333333333334</v>
      </c>
      <c r="C603" s="585">
        <v>2.7</v>
      </c>
    </row>
    <row r="604" spans="1:3" x14ac:dyDescent="0.25">
      <c r="A604" t="s">
        <v>5771</v>
      </c>
      <c r="B604" s="585">
        <v>11.433333333333334</v>
      </c>
      <c r="C604" s="585">
        <v>2.7</v>
      </c>
    </row>
    <row r="605" spans="1:3" x14ac:dyDescent="0.25">
      <c r="A605" t="s">
        <v>5772</v>
      </c>
      <c r="B605" s="585">
        <v>11.433333333333334</v>
      </c>
      <c r="C605" s="585">
        <v>2.7</v>
      </c>
    </row>
    <row r="606" spans="1:3" x14ac:dyDescent="0.25">
      <c r="A606" t="s">
        <v>5773</v>
      </c>
      <c r="B606" s="585">
        <v>11.433333333333334</v>
      </c>
      <c r="C606" s="585">
        <v>2.7</v>
      </c>
    </row>
    <row r="607" spans="1:3" x14ac:dyDescent="0.25">
      <c r="A607" t="s">
        <v>5774</v>
      </c>
      <c r="B607" s="585">
        <v>11.433333333333334</v>
      </c>
      <c r="C607" s="585">
        <v>2.7</v>
      </c>
    </row>
    <row r="608" spans="1:3" x14ac:dyDescent="0.25">
      <c r="A608" t="s">
        <v>5775</v>
      </c>
      <c r="B608" s="585">
        <v>11.433333333333334</v>
      </c>
      <c r="C608" s="585">
        <v>2.7</v>
      </c>
    </row>
    <row r="609" spans="1:3" x14ac:dyDescent="0.25">
      <c r="A609" t="s">
        <v>5776</v>
      </c>
      <c r="B609" s="585">
        <v>11.433333333333334</v>
      </c>
      <c r="C609" s="585">
        <v>2.7</v>
      </c>
    </row>
    <row r="610" spans="1:3" x14ac:dyDescent="0.25">
      <c r="A610" t="s">
        <v>5777</v>
      </c>
      <c r="B610" s="585">
        <v>11.45</v>
      </c>
      <c r="C610" s="585">
        <v>2.7</v>
      </c>
    </row>
    <row r="611" spans="1:3" x14ac:dyDescent="0.25">
      <c r="A611" t="s">
        <v>5778</v>
      </c>
      <c r="B611" s="585">
        <v>11.433333333333334</v>
      </c>
      <c r="C611" s="585">
        <v>2.7</v>
      </c>
    </row>
    <row r="612" spans="1:3" x14ac:dyDescent="0.25">
      <c r="A612" t="s">
        <v>5779</v>
      </c>
      <c r="B612" s="585">
        <v>11.433333333333334</v>
      </c>
      <c r="C612" s="585">
        <v>2.7</v>
      </c>
    </row>
    <row r="613" spans="1:3" x14ac:dyDescent="0.25">
      <c r="A613" t="s">
        <v>5780</v>
      </c>
      <c r="B613" s="585">
        <v>11.45</v>
      </c>
      <c r="C613" s="585">
        <v>2.7</v>
      </c>
    </row>
    <row r="614" spans="1:3" x14ac:dyDescent="0.25">
      <c r="A614" t="s">
        <v>5781</v>
      </c>
      <c r="B614" s="585">
        <v>11.433333333333334</v>
      </c>
      <c r="C614" s="585">
        <v>2.7</v>
      </c>
    </row>
    <row r="615" spans="1:3" x14ac:dyDescent="0.25">
      <c r="A615" t="s">
        <v>5782</v>
      </c>
      <c r="B615" s="585">
        <v>11.433333333333334</v>
      </c>
      <c r="C615" s="585">
        <v>2.7</v>
      </c>
    </row>
    <row r="616" spans="1:3" x14ac:dyDescent="0.25">
      <c r="A616" t="s">
        <v>5783</v>
      </c>
      <c r="B616" s="585">
        <v>11.433333333333334</v>
      </c>
      <c r="C616" s="585">
        <v>2.7</v>
      </c>
    </row>
    <row r="617" spans="1:3" x14ac:dyDescent="0.25">
      <c r="A617" t="s">
        <v>5784</v>
      </c>
      <c r="B617" s="585">
        <v>11.433333333333334</v>
      </c>
      <c r="C617" s="585">
        <v>2.7</v>
      </c>
    </row>
    <row r="618" spans="1:3" x14ac:dyDescent="0.25">
      <c r="A618" t="s">
        <v>5785</v>
      </c>
      <c r="B618" s="585">
        <v>11.433333333333334</v>
      </c>
      <c r="C618" s="585">
        <v>2.7</v>
      </c>
    </row>
    <row r="619" spans="1:3" x14ac:dyDescent="0.25">
      <c r="A619" t="s">
        <v>5786</v>
      </c>
      <c r="B619" s="585">
        <v>11.433333333333334</v>
      </c>
      <c r="C619" s="585">
        <v>2.7</v>
      </c>
    </row>
    <row r="620" spans="1:3" x14ac:dyDescent="0.25">
      <c r="A620" t="s">
        <v>5787</v>
      </c>
      <c r="B620" s="585">
        <v>11.433333333333334</v>
      </c>
      <c r="C620" s="585">
        <v>2.7</v>
      </c>
    </row>
    <row r="621" spans="1:3" x14ac:dyDescent="0.25">
      <c r="A621" t="s">
        <v>5788</v>
      </c>
      <c r="B621" s="585">
        <v>11.433333333333334</v>
      </c>
      <c r="C621" s="585">
        <v>2.7</v>
      </c>
    </row>
    <row r="622" spans="1:3" x14ac:dyDescent="0.25">
      <c r="A622" t="s">
        <v>5789</v>
      </c>
      <c r="B622" s="585">
        <v>11.433333333333334</v>
      </c>
      <c r="C622" s="585">
        <v>2.7</v>
      </c>
    </row>
    <row r="623" spans="1:3" x14ac:dyDescent="0.25">
      <c r="A623" t="s">
        <v>5790</v>
      </c>
      <c r="B623" s="585">
        <v>11.433333333333334</v>
      </c>
      <c r="C623" s="585">
        <v>2.7</v>
      </c>
    </row>
    <row r="624" spans="1:3" x14ac:dyDescent="0.25">
      <c r="A624" t="s">
        <v>5791</v>
      </c>
      <c r="B624" s="585">
        <v>11.433333333333334</v>
      </c>
      <c r="C624" s="585">
        <v>2.7</v>
      </c>
    </row>
    <row r="625" spans="1:3" x14ac:dyDescent="0.25">
      <c r="A625" t="s">
        <v>5792</v>
      </c>
      <c r="B625" s="585">
        <v>11.433333333333334</v>
      </c>
      <c r="C625" s="585">
        <v>2.7</v>
      </c>
    </row>
    <row r="626" spans="1:3" x14ac:dyDescent="0.25">
      <c r="A626" t="s">
        <v>5793</v>
      </c>
      <c r="B626" s="585">
        <v>11.433333333333334</v>
      </c>
      <c r="C626" s="585">
        <v>2.7</v>
      </c>
    </row>
    <row r="627" spans="1:3" x14ac:dyDescent="0.25">
      <c r="A627" t="s">
        <v>5794</v>
      </c>
      <c r="B627" s="585">
        <v>11.433333333333334</v>
      </c>
      <c r="C627" s="585">
        <v>2.7</v>
      </c>
    </row>
    <row r="628" spans="1:3" x14ac:dyDescent="0.25">
      <c r="A628" t="s">
        <v>5795</v>
      </c>
      <c r="B628" s="585">
        <v>11.433333333333334</v>
      </c>
      <c r="C628" s="585">
        <v>2.7</v>
      </c>
    </row>
    <row r="629" spans="1:3" x14ac:dyDescent="0.25">
      <c r="A629" t="s">
        <v>5796</v>
      </c>
      <c r="B629" s="585">
        <v>11.433333333333334</v>
      </c>
      <c r="C629" s="585">
        <v>2.7</v>
      </c>
    </row>
    <row r="630" spans="1:3" x14ac:dyDescent="0.25">
      <c r="A630" t="s">
        <v>5797</v>
      </c>
      <c r="B630" s="585">
        <v>11.433333333333334</v>
      </c>
      <c r="C630" s="585">
        <v>2.7</v>
      </c>
    </row>
    <row r="631" spans="1:3" x14ac:dyDescent="0.25">
      <c r="A631" t="s">
        <v>5798</v>
      </c>
      <c r="B631" s="585">
        <v>11.433333333333334</v>
      </c>
      <c r="C631" s="585">
        <v>2.7</v>
      </c>
    </row>
    <row r="632" spans="1:3" x14ac:dyDescent="0.25">
      <c r="A632" t="s">
        <v>5799</v>
      </c>
      <c r="B632" s="585">
        <v>11.433333333333334</v>
      </c>
      <c r="C632" s="585">
        <v>2.7</v>
      </c>
    </row>
    <row r="633" spans="1:3" x14ac:dyDescent="0.25">
      <c r="A633" t="s">
        <v>5800</v>
      </c>
      <c r="B633" s="585">
        <v>11.433333333333334</v>
      </c>
      <c r="C633" s="585">
        <v>2.7</v>
      </c>
    </row>
    <row r="634" spans="1:3" x14ac:dyDescent="0.25">
      <c r="A634" t="s">
        <v>5801</v>
      </c>
      <c r="B634" s="585">
        <v>11.433333333333334</v>
      </c>
      <c r="C634" s="585">
        <v>2.7</v>
      </c>
    </row>
    <row r="635" spans="1:3" x14ac:dyDescent="0.25">
      <c r="A635" t="s">
        <v>5802</v>
      </c>
      <c r="B635" s="585">
        <v>11.433333333333334</v>
      </c>
      <c r="C635" s="585">
        <v>2.7</v>
      </c>
    </row>
    <row r="636" spans="1:3" x14ac:dyDescent="0.25">
      <c r="A636" t="s">
        <v>5803</v>
      </c>
      <c r="B636" s="585">
        <v>11.433333333333334</v>
      </c>
      <c r="C636" s="585">
        <v>2.7</v>
      </c>
    </row>
    <row r="637" spans="1:3" x14ac:dyDescent="0.25">
      <c r="A637" t="s">
        <v>5804</v>
      </c>
      <c r="B637" s="585">
        <v>11.433333333333334</v>
      </c>
      <c r="C637" s="585">
        <v>2.7</v>
      </c>
    </row>
    <row r="638" spans="1:3" x14ac:dyDescent="0.25">
      <c r="A638" t="s">
        <v>5805</v>
      </c>
      <c r="B638" s="585">
        <v>11.433333333333334</v>
      </c>
      <c r="C638" s="585">
        <v>2.7</v>
      </c>
    </row>
    <row r="639" spans="1:3" x14ac:dyDescent="0.25">
      <c r="A639" t="s">
        <v>5806</v>
      </c>
      <c r="B639" s="585">
        <v>11.433333333333334</v>
      </c>
      <c r="C639" s="585">
        <v>2.7</v>
      </c>
    </row>
    <row r="640" spans="1:3" x14ac:dyDescent="0.25">
      <c r="A640" t="s">
        <v>5807</v>
      </c>
      <c r="B640" s="585">
        <v>11.433333333333334</v>
      </c>
      <c r="C640" s="585">
        <v>2.7</v>
      </c>
    </row>
    <row r="641" spans="1:3" x14ac:dyDescent="0.25">
      <c r="A641" t="s">
        <v>5808</v>
      </c>
      <c r="B641" s="585">
        <v>11.433333333333334</v>
      </c>
      <c r="C641" s="585">
        <v>2.7</v>
      </c>
    </row>
    <row r="642" spans="1:3" x14ac:dyDescent="0.25">
      <c r="A642" t="s">
        <v>5809</v>
      </c>
      <c r="B642" s="585">
        <v>11.433333333333334</v>
      </c>
      <c r="C642" s="585">
        <v>2.7</v>
      </c>
    </row>
    <row r="643" spans="1:3" x14ac:dyDescent="0.25">
      <c r="A643" t="s">
        <v>5810</v>
      </c>
      <c r="B643" s="585">
        <v>11.433333333333334</v>
      </c>
      <c r="C643" s="585">
        <v>2.7</v>
      </c>
    </row>
    <row r="644" spans="1:3" x14ac:dyDescent="0.25">
      <c r="A644" t="s">
        <v>5811</v>
      </c>
      <c r="B644" s="585">
        <v>11.433333333333334</v>
      </c>
      <c r="C644" s="585">
        <v>2.7</v>
      </c>
    </row>
    <row r="645" spans="1:3" x14ac:dyDescent="0.25">
      <c r="A645" t="s">
        <v>5812</v>
      </c>
      <c r="B645" s="585">
        <v>11.433333333333334</v>
      </c>
      <c r="C645" s="585">
        <v>2.7</v>
      </c>
    </row>
    <row r="646" spans="1:3" x14ac:dyDescent="0.25">
      <c r="A646" t="s">
        <v>5813</v>
      </c>
      <c r="B646" s="585">
        <v>11.433333333333334</v>
      </c>
      <c r="C646" s="585">
        <v>2.7</v>
      </c>
    </row>
    <row r="647" spans="1:3" x14ac:dyDescent="0.25">
      <c r="A647" t="s">
        <v>5814</v>
      </c>
      <c r="B647" s="585">
        <v>11.433333333333334</v>
      </c>
      <c r="C647" s="585">
        <v>2.7</v>
      </c>
    </row>
    <row r="648" spans="1:3" x14ac:dyDescent="0.25">
      <c r="A648" t="s">
        <v>5815</v>
      </c>
      <c r="B648" s="585">
        <v>11.433333333333334</v>
      </c>
      <c r="C648" s="585">
        <v>2.7</v>
      </c>
    </row>
    <row r="649" spans="1:3" x14ac:dyDescent="0.25">
      <c r="A649" t="s">
        <v>5816</v>
      </c>
      <c r="B649" s="585">
        <v>11.433333333333334</v>
      </c>
      <c r="C649" s="585">
        <v>2.7</v>
      </c>
    </row>
    <row r="650" spans="1:3" x14ac:dyDescent="0.25">
      <c r="A650" t="s">
        <v>5817</v>
      </c>
      <c r="B650" s="585">
        <v>11.433333333333334</v>
      </c>
      <c r="C650" s="585">
        <v>2.7</v>
      </c>
    </row>
    <row r="651" spans="1:3" x14ac:dyDescent="0.25">
      <c r="A651" t="s">
        <v>5818</v>
      </c>
      <c r="B651" s="585">
        <v>11.433333333333334</v>
      </c>
      <c r="C651" s="585">
        <v>2.7</v>
      </c>
    </row>
    <row r="652" spans="1:3" x14ac:dyDescent="0.25">
      <c r="A652" t="s">
        <v>5819</v>
      </c>
      <c r="B652" s="585">
        <v>11.433333333333334</v>
      </c>
      <c r="C652" s="585">
        <v>2.7</v>
      </c>
    </row>
    <row r="653" spans="1:3" x14ac:dyDescent="0.25">
      <c r="A653" t="s">
        <v>5182</v>
      </c>
      <c r="B653" s="585">
        <v>11.433333333333334</v>
      </c>
      <c r="C653" s="585">
        <v>2.7</v>
      </c>
    </row>
    <row r="654" spans="1:3" x14ac:dyDescent="0.25">
      <c r="A654" t="s">
        <v>5820</v>
      </c>
      <c r="B654" s="585">
        <v>11.433333333333334</v>
      </c>
      <c r="C654" s="585">
        <v>2.7</v>
      </c>
    </row>
    <row r="655" spans="1:3" x14ac:dyDescent="0.25">
      <c r="A655" t="s">
        <v>5821</v>
      </c>
      <c r="B655" s="585">
        <v>11.433333333333334</v>
      </c>
      <c r="C655" s="585">
        <v>2.7</v>
      </c>
    </row>
    <row r="656" spans="1:3" x14ac:dyDescent="0.25">
      <c r="A656" t="s">
        <v>5822</v>
      </c>
      <c r="B656" s="585">
        <v>11.433333333333334</v>
      </c>
      <c r="C656" s="585">
        <v>2.7</v>
      </c>
    </row>
    <row r="657" spans="1:3" x14ac:dyDescent="0.25">
      <c r="A657" t="s">
        <v>5823</v>
      </c>
      <c r="B657" s="585">
        <v>11.433333333333334</v>
      </c>
      <c r="C657" s="585">
        <v>2.7</v>
      </c>
    </row>
    <row r="658" spans="1:3" x14ac:dyDescent="0.25">
      <c r="A658" t="s">
        <v>5824</v>
      </c>
      <c r="B658" s="585">
        <v>11.433333333333334</v>
      </c>
      <c r="C658" s="585">
        <v>2.7</v>
      </c>
    </row>
    <row r="659" spans="1:3" x14ac:dyDescent="0.25">
      <c r="A659" t="s">
        <v>5825</v>
      </c>
      <c r="B659" s="585">
        <v>11.433333333333334</v>
      </c>
      <c r="C659" s="585">
        <v>2.7</v>
      </c>
    </row>
    <row r="660" spans="1:3" x14ac:dyDescent="0.25">
      <c r="A660" t="s">
        <v>5826</v>
      </c>
      <c r="B660" s="585">
        <v>11.433333333333334</v>
      </c>
      <c r="C660" s="585">
        <v>2.7</v>
      </c>
    </row>
    <row r="661" spans="1:3" x14ac:dyDescent="0.25">
      <c r="A661" t="s">
        <v>5179</v>
      </c>
      <c r="B661" s="585">
        <v>11.433333333333334</v>
      </c>
      <c r="C661" s="585">
        <v>2.7</v>
      </c>
    </row>
    <row r="662" spans="1:3" x14ac:dyDescent="0.25">
      <c r="A662" t="s">
        <v>5827</v>
      </c>
      <c r="B662" s="585">
        <v>11.433333333333334</v>
      </c>
      <c r="C662" s="585">
        <v>2.7</v>
      </c>
    </row>
    <row r="663" spans="1:3" x14ac:dyDescent="0.25">
      <c r="A663" t="s">
        <v>5828</v>
      </c>
      <c r="B663" s="585">
        <v>11.433333333333334</v>
      </c>
      <c r="C663" s="585">
        <v>2.7</v>
      </c>
    </row>
    <row r="664" spans="1:3" x14ac:dyDescent="0.25">
      <c r="A664" t="s">
        <v>5829</v>
      </c>
      <c r="B664" s="585">
        <v>11.433333333333334</v>
      </c>
      <c r="C664" s="585">
        <v>2.7</v>
      </c>
    </row>
    <row r="665" spans="1:3" x14ac:dyDescent="0.25">
      <c r="A665" t="s">
        <v>5830</v>
      </c>
      <c r="B665" s="585">
        <v>11.433333333333334</v>
      </c>
      <c r="C665" s="585">
        <v>2.7</v>
      </c>
    </row>
    <row r="666" spans="1:3" x14ac:dyDescent="0.25">
      <c r="A666" t="s">
        <v>5831</v>
      </c>
      <c r="B666" s="585">
        <v>11.433333333333334</v>
      </c>
      <c r="C666" s="585">
        <v>2.7</v>
      </c>
    </row>
    <row r="667" spans="1:3" x14ac:dyDescent="0.25">
      <c r="A667" t="s">
        <v>5832</v>
      </c>
      <c r="B667" s="585">
        <v>11.433333333333334</v>
      </c>
      <c r="C667" s="585">
        <v>2.7</v>
      </c>
    </row>
    <row r="668" spans="1:3" x14ac:dyDescent="0.25">
      <c r="A668" t="s">
        <v>5833</v>
      </c>
      <c r="B668" s="585">
        <v>11.433333333333334</v>
      </c>
      <c r="C668" s="585">
        <v>2.7</v>
      </c>
    </row>
    <row r="669" spans="1:3" x14ac:dyDescent="0.25">
      <c r="A669" t="s">
        <v>5834</v>
      </c>
      <c r="B669" s="585">
        <v>11.433333333333334</v>
      </c>
      <c r="C669" s="585">
        <v>2.7</v>
      </c>
    </row>
    <row r="670" spans="1:3" x14ac:dyDescent="0.25">
      <c r="A670" t="s">
        <v>5835</v>
      </c>
      <c r="B670" s="585">
        <v>11.433333333333334</v>
      </c>
      <c r="C670" s="585">
        <v>2.7</v>
      </c>
    </row>
    <row r="671" spans="1:3" x14ac:dyDescent="0.25">
      <c r="A671" t="s">
        <v>5836</v>
      </c>
      <c r="B671" s="585">
        <v>11.433333333333334</v>
      </c>
      <c r="C671" s="585">
        <v>2.7</v>
      </c>
    </row>
    <row r="672" spans="1:3" x14ac:dyDescent="0.25">
      <c r="A672" t="s">
        <v>5837</v>
      </c>
      <c r="B672" s="585">
        <v>11.433333333333334</v>
      </c>
      <c r="C672" s="585">
        <v>2.7</v>
      </c>
    </row>
    <row r="673" spans="1:3" x14ac:dyDescent="0.25">
      <c r="A673" t="s">
        <v>5838</v>
      </c>
      <c r="B673" s="585">
        <v>11.433333333333334</v>
      </c>
      <c r="C673" s="585">
        <v>2.7</v>
      </c>
    </row>
    <row r="674" spans="1:3" x14ac:dyDescent="0.25">
      <c r="A674" t="s">
        <v>5839</v>
      </c>
      <c r="B674" s="585">
        <v>11.433333333333334</v>
      </c>
      <c r="C674" s="585">
        <v>2.7</v>
      </c>
    </row>
    <row r="675" spans="1:3" x14ac:dyDescent="0.25">
      <c r="A675" t="s">
        <v>5840</v>
      </c>
      <c r="B675" s="585">
        <v>11.433333333333334</v>
      </c>
      <c r="C675" s="585">
        <v>2.7</v>
      </c>
    </row>
    <row r="676" spans="1:3" x14ac:dyDescent="0.25">
      <c r="A676" t="s">
        <v>5841</v>
      </c>
      <c r="B676" s="585">
        <v>11.433333333333334</v>
      </c>
      <c r="C676" s="585">
        <v>2.7</v>
      </c>
    </row>
    <row r="677" spans="1:3" x14ac:dyDescent="0.25">
      <c r="A677" t="s">
        <v>5842</v>
      </c>
      <c r="B677" s="585">
        <v>11.433333333333334</v>
      </c>
      <c r="C677" s="585">
        <v>2.7</v>
      </c>
    </row>
    <row r="678" spans="1:3" x14ac:dyDescent="0.25">
      <c r="A678" t="s">
        <v>5843</v>
      </c>
      <c r="B678" s="585">
        <v>11.433333333333334</v>
      </c>
      <c r="C678" s="585">
        <v>2.7</v>
      </c>
    </row>
    <row r="679" spans="1:3" x14ac:dyDescent="0.25">
      <c r="A679" t="s">
        <v>5844</v>
      </c>
      <c r="B679" s="585">
        <v>11.433333333333334</v>
      </c>
      <c r="C679" s="585">
        <v>2.7</v>
      </c>
    </row>
    <row r="680" spans="1:3" x14ac:dyDescent="0.25">
      <c r="A680" t="s">
        <v>5845</v>
      </c>
      <c r="B680" s="585">
        <v>11.433333333333334</v>
      </c>
      <c r="C680" s="585">
        <v>2.7</v>
      </c>
    </row>
    <row r="681" spans="1:3" x14ac:dyDescent="0.25">
      <c r="A681" t="s">
        <v>5846</v>
      </c>
      <c r="B681" s="585">
        <v>11.433333333333334</v>
      </c>
      <c r="C681" s="585">
        <v>2.7</v>
      </c>
    </row>
    <row r="682" spans="1:3" x14ac:dyDescent="0.25">
      <c r="A682" t="s">
        <v>5847</v>
      </c>
      <c r="B682" s="585">
        <v>11.433333333333334</v>
      </c>
      <c r="C682" s="585">
        <v>2.7</v>
      </c>
    </row>
    <row r="683" spans="1:3" x14ac:dyDescent="0.25">
      <c r="A683" t="s">
        <v>5848</v>
      </c>
      <c r="B683" s="585">
        <v>11.433333333333334</v>
      </c>
      <c r="C683" s="585">
        <v>2.7</v>
      </c>
    </row>
    <row r="684" spans="1:3" x14ac:dyDescent="0.25">
      <c r="A684" t="s">
        <v>5849</v>
      </c>
      <c r="B684" s="585">
        <v>11.433333333333334</v>
      </c>
      <c r="C684" s="585">
        <v>2.7</v>
      </c>
    </row>
    <row r="685" spans="1:3" x14ac:dyDescent="0.25">
      <c r="A685" t="s">
        <v>5850</v>
      </c>
      <c r="B685" s="585">
        <v>11.433333333333334</v>
      </c>
      <c r="C685" s="585">
        <v>2.7</v>
      </c>
    </row>
    <row r="686" spans="1:3" x14ac:dyDescent="0.25">
      <c r="A686" t="s">
        <v>5851</v>
      </c>
      <c r="B686" s="585">
        <v>11.433333333333334</v>
      </c>
      <c r="C686" s="585">
        <v>2.7</v>
      </c>
    </row>
    <row r="687" spans="1:3" x14ac:dyDescent="0.25">
      <c r="A687" t="s">
        <v>5852</v>
      </c>
      <c r="B687" s="585">
        <v>11.433333333333334</v>
      </c>
      <c r="C687" s="585">
        <v>2.7</v>
      </c>
    </row>
    <row r="688" spans="1:3" x14ac:dyDescent="0.25">
      <c r="A688" t="s">
        <v>5853</v>
      </c>
      <c r="B688" s="585">
        <v>11.433333333333334</v>
      </c>
      <c r="C688" s="585">
        <v>2.7</v>
      </c>
    </row>
    <row r="689" spans="1:3" x14ac:dyDescent="0.25">
      <c r="A689" t="s">
        <v>5854</v>
      </c>
      <c r="B689" s="585">
        <v>11.433333333333334</v>
      </c>
      <c r="C689" s="585">
        <v>2.7</v>
      </c>
    </row>
    <row r="690" spans="1:3" x14ac:dyDescent="0.25">
      <c r="A690" t="s">
        <v>5855</v>
      </c>
      <c r="B690" s="585">
        <v>11.433333333333334</v>
      </c>
      <c r="C690" s="585">
        <v>2.7</v>
      </c>
    </row>
    <row r="691" spans="1:3" x14ac:dyDescent="0.25">
      <c r="A691" t="s">
        <v>5856</v>
      </c>
      <c r="B691" s="585">
        <v>11.433333333333334</v>
      </c>
      <c r="C691" s="585">
        <v>2.7</v>
      </c>
    </row>
    <row r="692" spans="1:3" x14ac:dyDescent="0.25">
      <c r="A692" t="s">
        <v>5857</v>
      </c>
      <c r="B692" s="585">
        <v>11.433333333333334</v>
      </c>
      <c r="C692" s="585">
        <v>2.7</v>
      </c>
    </row>
    <row r="693" spans="1:3" x14ac:dyDescent="0.25">
      <c r="A693" t="s">
        <v>5858</v>
      </c>
      <c r="B693" s="585">
        <v>11.433333333333334</v>
      </c>
      <c r="C693" s="585">
        <v>2.7</v>
      </c>
    </row>
    <row r="694" spans="1:3" x14ac:dyDescent="0.25">
      <c r="A694" t="s">
        <v>5859</v>
      </c>
      <c r="B694" s="585">
        <v>11.433333333333334</v>
      </c>
      <c r="C694" s="585">
        <v>2.7</v>
      </c>
    </row>
    <row r="695" spans="1:3" x14ac:dyDescent="0.25">
      <c r="A695" t="s">
        <v>5860</v>
      </c>
      <c r="B695" s="585">
        <v>11.433333333333334</v>
      </c>
      <c r="C695" s="585">
        <v>2.7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B2:AI34"/>
  <sheetViews>
    <sheetView showGridLines="0" topLeftCell="A4" zoomScale="85" zoomScaleNormal="85" workbookViewId="0">
      <selection activeCell="K15" sqref="K15"/>
    </sheetView>
  </sheetViews>
  <sheetFormatPr defaultColWidth="9.140625" defaultRowHeight="15" x14ac:dyDescent="0.25"/>
  <cols>
    <col min="1" max="1" width="1.5703125" customWidth="1"/>
    <col min="2" max="2" width="3.42578125" style="29" customWidth="1"/>
    <col min="3" max="3" width="43.28515625" style="29" bestFit="1" customWidth="1"/>
    <col min="4" max="4" width="15.28515625" style="29" bestFit="1" customWidth="1"/>
    <col min="5" max="5" width="10.7109375" style="29" customWidth="1"/>
    <col min="6" max="6" width="10.42578125" style="29" customWidth="1"/>
    <col min="7" max="7" width="10.140625" style="29" customWidth="1"/>
    <col min="8" max="8" width="10.5703125" style="29" customWidth="1"/>
    <col min="9" max="15" width="10.42578125" style="29" customWidth="1"/>
    <col min="16" max="16" width="10.42578125" customWidth="1"/>
    <col min="17" max="17" width="10.42578125" style="29" customWidth="1"/>
    <col min="18" max="18" width="13.5703125" style="29" bestFit="1" customWidth="1"/>
    <col min="19" max="19" width="6.7109375" style="29" bestFit="1" customWidth="1"/>
    <col min="20" max="20" width="11.140625" style="29" bestFit="1" customWidth="1"/>
    <col min="21" max="21" width="13.42578125" style="29" bestFit="1" customWidth="1"/>
    <col min="22" max="22" width="10.42578125" style="29" customWidth="1"/>
    <col min="23" max="23" width="10.7109375" style="29" bestFit="1" customWidth="1"/>
    <col min="24" max="24" width="15" style="29" customWidth="1"/>
    <col min="25" max="27" width="12.28515625" style="29" customWidth="1"/>
    <col min="28" max="29" width="9.140625" customWidth="1"/>
    <col min="30" max="30" width="30.42578125" bestFit="1" customWidth="1"/>
    <col min="31" max="31" width="10.42578125" customWidth="1"/>
    <col min="32" max="35" width="10.7109375" customWidth="1"/>
  </cols>
  <sheetData>
    <row r="2" spans="2:35" x14ac:dyDescent="0.25">
      <c r="AD2" t="str">
        <f>IF(AND(C19&gt;=1,C19=1),"CPFL Piratininga",IF(AND(C19=2,C19=2),"RGE",IF(AND(C19=3,C19=3),"CPFL Paulista",IF(C19=4,"CPFL Santa Cruz"))))</f>
        <v>CPFL Piratininga</v>
      </c>
    </row>
    <row r="3" spans="2:35" x14ac:dyDescent="0.25">
      <c r="B3" s="28" t="s">
        <v>666</v>
      </c>
      <c r="C3" s="28"/>
      <c r="D3" s="42" t="s">
        <v>667</v>
      </c>
      <c r="E3" s="42" t="s">
        <v>668</v>
      </c>
      <c r="F3" s="42" t="s">
        <v>669</v>
      </c>
      <c r="G3" s="42" t="s">
        <v>670</v>
      </c>
      <c r="H3" s="42" t="s">
        <v>667</v>
      </c>
      <c r="I3" s="42" t="s">
        <v>668</v>
      </c>
      <c r="J3" s="42" t="s">
        <v>669</v>
      </c>
      <c r="K3" s="42" t="s">
        <v>670</v>
      </c>
      <c r="L3" s="42" t="s">
        <v>667</v>
      </c>
      <c r="M3" s="42" t="s">
        <v>668</v>
      </c>
      <c r="N3" s="42" t="s">
        <v>669</v>
      </c>
      <c r="O3" s="42" t="s">
        <v>670</v>
      </c>
      <c r="Q3" s="42"/>
      <c r="R3" s="514" t="s">
        <v>667</v>
      </c>
      <c r="S3" s="514" t="s">
        <v>668</v>
      </c>
      <c r="T3" s="514" t="s">
        <v>669</v>
      </c>
      <c r="U3" s="514" t="s">
        <v>670</v>
      </c>
      <c r="V3" s="514" t="s">
        <v>667</v>
      </c>
      <c r="W3" s="514" t="s">
        <v>668</v>
      </c>
      <c r="X3" s="514" t="s">
        <v>669</v>
      </c>
      <c r="Y3" s="514" t="s">
        <v>670</v>
      </c>
      <c r="Z3" s="605" t="s">
        <v>5164</v>
      </c>
      <c r="AA3" s="605"/>
      <c r="AC3" s="641" t="str">
        <f>IF(AND(C19&gt;=1,C19=1),"CPFL Piratininga",IF(AND(C19=2,C19=2),"RGE",IF(AND(C19=3,C19=3),"CPFL Paulista",IF(C19=4,"CPFL Santa Cruz"))))</f>
        <v>CPFL Piratininga</v>
      </c>
      <c r="AD3" s="641"/>
      <c r="AE3" s="29"/>
      <c r="AF3" s="29"/>
      <c r="AG3" s="29"/>
      <c r="AH3" s="29"/>
      <c r="AI3" s="29"/>
    </row>
    <row r="4" spans="2:35" x14ac:dyDescent="0.25">
      <c r="B4" s="30" t="s">
        <v>671</v>
      </c>
      <c r="C4" s="30"/>
      <c r="D4" s="31" t="s">
        <v>672</v>
      </c>
      <c r="E4" s="31" t="s">
        <v>672</v>
      </c>
      <c r="F4" s="31" t="s">
        <v>672</v>
      </c>
      <c r="G4" s="31" t="s">
        <v>672</v>
      </c>
      <c r="H4" s="31" t="s">
        <v>673</v>
      </c>
      <c r="I4" s="31" t="s">
        <v>673</v>
      </c>
      <c r="J4" s="31" t="s">
        <v>673</v>
      </c>
      <c r="K4" s="31" t="s">
        <v>673</v>
      </c>
      <c r="L4" s="31" t="s">
        <v>674</v>
      </c>
      <c r="M4" s="31" t="s">
        <v>674</v>
      </c>
      <c r="N4" s="31" t="s">
        <v>674</v>
      </c>
      <c r="O4" s="31" t="s">
        <v>674</v>
      </c>
      <c r="Q4" s="39"/>
      <c r="R4" s="31" t="s">
        <v>675</v>
      </c>
      <c r="S4" s="31" t="s">
        <v>675</v>
      </c>
      <c r="T4" s="31" t="s">
        <v>675</v>
      </c>
      <c r="U4" s="31" t="s">
        <v>675</v>
      </c>
      <c r="V4" s="31" t="s">
        <v>676</v>
      </c>
      <c r="W4" s="31" t="s">
        <v>676</v>
      </c>
      <c r="X4" s="31" t="s">
        <v>676</v>
      </c>
      <c r="Y4" s="31" t="s">
        <v>676</v>
      </c>
      <c r="Z4" s="44" t="s">
        <v>678</v>
      </c>
      <c r="AA4" s="44" t="s">
        <v>676</v>
      </c>
      <c r="AC4" s="30" t="s">
        <v>671</v>
      </c>
      <c r="AD4" s="30"/>
      <c r="AE4" s="32" t="s">
        <v>672</v>
      </c>
      <c r="AF4" s="32" t="s">
        <v>673</v>
      </c>
      <c r="AG4" s="32" t="s">
        <v>677</v>
      </c>
    </row>
    <row r="5" spans="2:35" x14ac:dyDescent="0.25">
      <c r="B5" s="414">
        <v>1</v>
      </c>
      <c r="C5" s="33" t="s">
        <v>679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Q5" s="43">
        <v>45748</v>
      </c>
      <c r="R5" s="443">
        <v>9.1000000000000004E-3</v>
      </c>
      <c r="S5" s="443">
        <v>9.4000000000000004E-3</v>
      </c>
      <c r="T5" s="443">
        <v>8.0000000000000002E-3</v>
      </c>
      <c r="U5" s="443">
        <v>9.7000000000000003E-3</v>
      </c>
      <c r="V5" s="443">
        <v>4.1799999999999997E-2</v>
      </c>
      <c r="W5" s="443">
        <v>4.3499999999999997E-2</v>
      </c>
      <c r="X5" s="443">
        <v>3.6400000000000002E-2</v>
      </c>
      <c r="Y5" s="443">
        <v>4.4299999999999999E-2</v>
      </c>
      <c r="Z5" s="442">
        <f t="shared" ref="Z5:Z16" si="0">SUMIF($R$3:$U$3,$AC$3,R5:U5)</f>
        <v>9.1000000000000004E-3</v>
      </c>
      <c r="AA5" s="442">
        <f t="shared" ref="AA5:AA16" si="1">SUMIF($V$3:$Y$3,$AC$3,V5:Y5)</f>
        <v>4.1799999999999997E-2</v>
      </c>
      <c r="AC5" s="35">
        <v>1</v>
      </c>
      <c r="AD5" s="33" t="s">
        <v>679</v>
      </c>
      <c r="AE5" s="36">
        <v>0</v>
      </c>
      <c r="AF5" s="36">
        <v>0</v>
      </c>
      <c r="AG5" s="36">
        <v>0</v>
      </c>
    </row>
    <row r="6" spans="2:35" x14ac:dyDescent="0.25">
      <c r="B6" s="35">
        <v>2</v>
      </c>
      <c r="C6" s="33" t="s">
        <v>680</v>
      </c>
      <c r="D6" s="34">
        <v>0</v>
      </c>
      <c r="E6" s="34">
        <v>352.58</v>
      </c>
      <c r="F6" s="34">
        <v>0</v>
      </c>
      <c r="G6" s="34">
        <v>0</v>
      </c>
      <c r="H6" s="34">
        <v>0</v>
      </c>
      <c r="I6" s="34">
        <v>160.41999999999999</v>
      </c>
      <c r="J6" s="34">
        <v>0</v>
      </c>
      <c r="K6" s="34">
        <v>0</v>
      </c>
      <c r="L6" s="34">
        <v>0</v>
      </c>
      <c r="M6" s="34">
        <v>334.56</v>
      </c>
      <c r="N6" s="34">
        <v>0</v>
      </c>
      <c r="O6" s="34">
        <v>0</v>
      </c>
      <c r="Q6" s="43">
        <v>45717</v>
      </c>
      <c r="R6" s="443">
        <v>8.9999999999999993E-3</v>
      </c>
      <c r="S6" s="443">
        <v>8.6E-3</v>
      </c>
      <c r="T6" s="443">
        <v>7.7000000000000002E-3</v>
      </c>
      <c r="U6" s="443">
        <v>8.5000000000000006E-3</v>
      </c>
      <c r="V6" s="443">
        <v>4.1599999999999998E-2</v>
      </c>
      <c r="W6" s="443">
        <v>3.9800000000000002E-2</v>
      </c>
      <c r="X6" s="443">
        <v>3.5700000000000003E-2</v>
      </c>
      <c r="Y6" s="443">
        <v>3.9399999999999998E-2</v>
      </c>
      <c r="Z6" s="442">
        <f t="shared" si="0"/>
        <v>8.9999999999999993E-3</v>
      </c>
      <c r="AA6" s="442">
        <f t="shared" si="1"/>
        <v>4.1599999999999998E-2</v>
      </c>
      <c r="AC6" s="35">
        <v>2</v>
      </c>
      <c r="AD6" s="33" t="s">
        <v>680</v>
      </c>
      <c r="AE6" s="36">
        <f t="shared" ref="AE6:AE15" si="2">SUMIF($D$3:$G$3,$AC$3,D6:G6)</f>
        <v>0</v>
      </c>
      <c r="AF6" s="36">
        <f t="shared" ref="AF6:AF16" si="3">SUMIF($H$3:$K$3,$AC$3,H6:K6)</f>
        <v>0</v>
      </c>
      <c r="AG6" s="36">
        <f t="shared" ref="AG6:AG14" si="4">SUMIF($L$3:$O$3,$AC$3,L6:O6)</f>
        <v>0</v>
      </c>
    </row>
    <row r="7" spans="2:35" x14ac:dyDescent="0.25">
      <c r="B7" s="35">
        <v>3</v>
      </c>
      <c r="C7" s="33" t="s">
        <v>681</v>
      </c>
      <c r="D7" s="34">
        <v>396.71407648516771</v>
      </c>
      <c r="E7" s="34">
        <v>353.8</v>
      </c>
      <c r="F7" s="34">
        <v>359.67510131049573</v>
      </c>
      <c r="G7" s="34">
        <v>327.5508108741621</v>
      </c>
      <c r="H7" s="34">
        <v>284.07486</v>
      </c>
      <c r="I7" s="34">
        <v>337.55</v>
      </c>
      <c r="J7" s="34">
        <v>249.60119999999998</v>
      </c>
      <c r="K7" s="34">
        <v>302.20243199999999</v>
      </c>
      <c r="L7" s="34">
        <v>371.54</v>
      </c>
      <c r="M7" s="34">
        <v>335.78</v>
      </c>
      <c r="N7" s="34">
        <v>341.15</v>
      </c>
      <c r="O7" s="34">
        <v>305.92</v>
      </c>
      <c r="Q7" s="43">
        <v>45689</v>
      </c>
      <c r="R7" s="443">
        <v>7.6E-3</v>
      </c>
      <c r="S7" s="443">
        <v>1.0200000000000001E-2</v>
      </c>
      <c r="T7" s="443">
        <v>8.8000000000000005E-3</v>
      </c>
      <c r="U7" s="443">
        <v>9.7000000000000003E-3</v>
      </c>
      <c r="V7" s="443">
        <v>3.49E-2</v>
      </c>
      <c r="W7" s="443">
        <v>4.7100000000000003E-2</v>
      </c>
      <c r="X7" s="443">
        <v>4.0599999999999997E-2</v>
      </c>
      <c r="Y7" s="443">
        <v>4.4600000000000001E-2</v>
      </c>
      <c r="Z7" s="442">
        <f t="shared" si="0"/>
        <v>7.6E-3</v>
      </c>
      <c r="AA7" s="442">
        <f t="shared" si="1"/>
        <v>3.49E-2</v>
      </c>
      <c r="AC7" s="35">
        <v>3</v>
      </c>
      <c r="AD7" s="33" t="s">
        <v>681</v>
      </c>
      <c r="AE7" s="36">
        <f t="shared" si="2"/>
        <v>396.71407648516771</v>
      </c>
      <c r="AF7" s="36">
        <f t="shared" si="3"/>
        <v>284.07486</v>
      </c>
      <c r="AG7" s="36">
        <f t="shared" si="4"/>
        <v>371.54</v>
      </c>
    </row>
    <row r="8" spans="2:35" x14ac:dyDescent="0.25">
      <c r="B8" s="35">
        <v>4</v>
      </c>
      <c r="C8" s="33" t="s">
        <v>682</v>
      </c>
      <c r="D8" s="34">
        <v>0</v>
      </c>
      <c r="E8" s="34">
        <v>357.08</v>
      </c>
      <c r="F8" s="34">
        <v>393.78510131049575</v>
      </c>
      <c r="G8" s="34">
        <v>344.9208108741621</v>
      </c>
      <c r="H8" s="34">
        <v>0</v>
      </c>
      <c r="I8" s="34">
        <v>387.44</v>
      </c>
      <c r="J8" s="34">
        <v>462.73469999999998</v>
      </c>
      <c r="K8" s="34">
        <v>449.15097600000001</v>
      </c>
      <c r="L8" s="34">
        <v>0</v>
      </c>
      <c r="M8" s="34">
        <v>339.06</v>
      </c>
      <c r="N8" s="34">
        <v>375.26</v>
      </c>
      <c r="O8" s="34">
        <v>323.29000000000002</v>
      </c>
      <c r="Q8" s="43">
        <v>45658</v>
      </c>
      <c r="R8" s="443">
        <v>6.1999999999999998E-3</v>
      </c>
      <c r="S8" s="443">
        <v>6.4000000000000003E-3</v>
      </c>
      <c r="T8" s="443">
        <v>8.2000000000000007E-3</v>
      </c>
      <c r="U8" s="443">
        <v>7.0000000000000001E-3</v>
      </c>
      <c r="V8" s="443">
        <v>2.8500000000000001E-2</v>
      </c>
      <c r="W8" s="443">
        <v>2.9700000000000001E-2</v>
      </c>
      <c r="X8" s="443">
        <v>3.7999999999999999E-2</v>
      </c>
      <c r="Y8" s="443">
        <v>3.2099999999999997E-2</v>
      </c>
      <c r="Z8" s="442">
        <f t="shared" si="0"/>
        <v>6.1999999999999998E-3</v>
      </c>
      <c r="AA8" s="442">
        <f t="shared" si="1"/>
        <v>2.8500000000000001E-2</v>
      </c>
      <c r="AC8" s="35">
        <v>4</v>
      </c>
      <c r="AD8" s="33" t="s">
        <v>682</v>
      </c>
      <c r="AE8" s="36">
        <f t="shared" si="2"/>
        <v>0</v>
      </c>
      <c r="AF8" s="36">
        <f t="shared" si="3"/>
        <v>0</v>
      </c>
      <c r="AG8" s="36">
        <f t="shared" si="4"/>
        <v>0</v>
      </c>
    </row>
    <row r="9" spans="2:35" x14ac:dyDescent="0.25">
      <c r="B9" s="35">
        <v>5</v>
      </c>
      <c r="C9" s="33" t="s">
        <v>683</v>
      </c>
      <c r="D9" s="34">
        <v>0</v>
      </c>
      <c r="E9" s="34">
        <v>0</v>
      </c>
      <c r="F9" s="34">
        <v>404.18510131049578</v>
      </c>
      <c r="G9" s="34">
        <v>379.6793767555601</v>
      </c>
      <c r="H9" s="34">
        <v>0</v>
      </c>
      <c r="I9" s="34">
        <v>0</v>
      </c>
      <c r="J9" s="34">
        <v>715.01012399999991</v>
      </c>
      <c r="K9" s="34">
        <v>848.07407999999998</v>
      </c>
      <c r="L9" s="34">
        <v>0</v>
      </c>
      <c r="M9" s="34">
        <v>0</v>
      </c>
      <c r="N9" s="34">
        <v>385.65999999999997</v>
      </c>
      <c r="O9" s="34">
        <v>358.05</v>
      </c>
      <c r="Q9" s="43">
        <v>45627</v>
      </c>
      <c r="R9" s="443">
        <v>6.8999999999999999E-3</v>
      </c>
      <c r="S9" s="443">
        <v>5.8999999999999999E-3</v>
      </c>
      <c r="T9" s="443">
        <v>6.1000000000000004E-3</v>
      </c>
      <c r="U9" s="443">
        <v>4.8999999999999998E-3</v>
      </c>
      <c r="V9" s="443">
        <v>3.1800000000000002E-2</v>
      </c>
      <c r="W9" s="443">
        <v>2.7300000000000001E-2</v>
      </c>
      <c r="X9" s="443">
        <v>2.81E-2</v>
      </c>
      <c r="Y9" s="443">
        <v>2.2700000000000001E-2</v>
      </c>
      <c r="Z9" s="442">
        <f t="shared" si="0"/>
        <v>6.8999999999999999E-3</v>
      </c>
      <c r="AA9" s="442">
        <f t="shared" si="1"/>
        <v>3.1800000000000002E-2</v>
      </c>
      <c r="AC9" s="35">
        <v>5</v>
      </c>
      <c r="AD9" s="33" t="s">
        <v>683</v>
      </c>
      <c r="AE9" s="36">
        <f t="shared" si="2"/>
        <v>0</v>
      </c>
      <c r="AF9" s="36">
        <f t="shared" si="3"/>
        <v>0</v>
      </c>
      <c r="AG9" s="36">
        <f t="shared" si="4"/>
        <v>0</v>
      </c>
    </row>
    <row r="10" spans="2:35" x14ac:dyDescent="0.25">
      <c r="B10" s="35">
        <v>6</v>
      </c>
      <c r="C10" s="33" t="s">
        <v>684</v>
      </c>
      <c r="D10" s="34">
        <v>432.32275695080949</v>
      </c>
      <c r="E10" s="34">
        <v>395.66</v>
      </c>
      <c r="F10" s="34">
        <v>404.18510131049578</v>
      </c>
      <c r="G10" s="34">
        <v>379.6793767555601</v>
      </c>
      <c r="H10" s="34">
        <v>528.78484800000001</v>
      </c>
      <c r="I10" s="34">
        <v>844.86</v>
      </c>
      <c r="J10" s="34">
        <v>715.01012399999991</v>
      </c>
      <c r="K10" s="34">
        <v>848.07407999999998</v>
      </c>
      <c r="L10" s="34">
        <v>407.15</v>
      </c>
      <c r="M10" s="34">
        <v>377.64</v>
      </c>
      <c r="N10" s="34">
        <v>385.65999999999997</v>
      </c>
      <c r="O10" s="34">
        <v>358.05</v>
      </c>
      <c r="Q10" s="43">
        <v>45597</v>
      </c>
      <c r="R10" s="443">
        <v>8.9999999999999993E-3</v>
      </c>
      <c r="S10" s="443">
        <v>1.24E-2</v>
      </c>
      <c r="T10" s="443">
        <v>7.4999999999999997E-3</v>
      </c>
      <c r="U10" s="443">
        <v>7.7000000000000002E-3</v>
      </c>
      <c r="V10" s="443">
        <v>4.1500000000000002E-2</v>
      </c>
      <c r="W10" s="443">
        <v>5.7000000000000002E-2</v>
      </c>
      <c r="X10" s="443">
        <v>3.44E-2</v>
      </c>
      <c r="Y10" s="443">
        <v>3.5900000000000001E-2</v>
      </c>
      <c r="Z10" s="442">
        <f t="shared" si="0"/>
        <v>8.9999999999999993E-3</v>
      </c>
      <c r="AA10" s="442">
        <f t="shared" si="1"/>
        <v>4.1500000000000002E-2</v>
      </c>
      <c r="AC10" s="35">
        <v>6</v>
      </c>
      <c r="AD10" s="33" t="s">
        <v>684</v>
      </c>
      <c r="AE10" s="36">
        <f t="shared" si="2"/>
        <v>432.32275695080949</v>
      </c>
      <c r="AF10" s="36">
        <f t="shared" si="3"/>
        <v>528.78484800000001</v>
      </c>
      <c r="AG10" s="36">
        <f t="shared" si="4"/>
        <v>407.15</v>
      </c>
    </row>
    <row r="11" spans="2:35" x14ac:dyDescent="0.25">
      <c r="B11" s="35">
        <v>7</v>
      </c>
      <c r="C11" s="33" t="s">
        <v>685</v>
      </c>
      <c r="D11" s="34">
        <v>659.79887968285061</v>
      </c>
      <c r="E11" s="34">
        <v>673.04</v>
      </c>
      <c r="F11" s="34">
        <v>633.54806702156679</v>
      </c>
      <c r="G11" s="34">
        <v>649.07152764799889</v>
      </c>
      <c r="H11" s="34">
        <v>1343.1082809375</v>
      </c>
      <c r="I11" s="34">
        <v>1823.41</v>
      </c>
      <c r="J11" s="34">
        <v>1865.3151052859998</v>
      </c>
      <c r="K11" s="34">
        <v>1428.9877611659999</v>
      </c>
      <c r="L11" s="34">
        <v>570.25</v>
      </c>
      <c r="M11" s="34">
        <v>576.72</v>
      </c>
      <c r="N11" s="34">
        <v>560.05999999999995</v>
      </c>
      <c r="O11" s="34">
        <v>547.48</v>
      </c>
      <c r="Q11" s="43">
        <v>45566</v>
      </c>
      <c r="R11" s="443">
        <v>8.0000000000000002E-3</v>
      </c>
      <c r="S11" s="443">
        <v>9.7999999999999997E-3</v>
      </c>
      <c r="T11" s="443">
        <v>6.8999999999999999E-3</v>
      </c>
      <c r="U11" s="443">
        <v>7.6E-3</v>
      </c>
      <c r="V11" s="443">
        <v>3.6799999999999999E-2</v>
      </c>
      <c r="W11" s="443">
        <v>4.4699999999999997E-2</v>
      </c>
      <c r="X11" s="443">
        <v>3.1899999999999998E-2</v>
      </c>
      <c r="Y11" s="443">
        <v>3.49E-2</v>
      </c>
      <c r="Z11" s="442">
        <f t="shared" si="0"/>
        <v>8.0000000000000002E-3</v>
      </c>
      <c r="AA11" s="442">
        <f t="shared" si="1"/>
        <v>3.6799999999999999E-2</v>
      </c>
      <c r="AC11" s="35">
        <v>7</v>
      </c>
      <c r="AD11" s="33" t="s">
        <v>686</v>
      </c>
      <c r="AE11" s="36">
        <f t="shared" si="2"/>
        <v>659.79887968285061</v>
      </c>
      <c r="AF11" s="36">
        <f t="shared" si="3"/>
        <v>1343.1082809375</v>
      </c>
      <c r="AG11" s="36">
        <f t="shared" si="4"/>
        <v>570.25</v>
      </c>
    </row>
    <row r="12" spans="2:35" x14ac:dyDescent="0.25">
      <c r="B12" s="35">
        <v>8</v>
      </c>
      <c r="C12" s="33" t="s">
        <v>687</v>
      </c>
      <c r="D12" s="34">
        <v>688.46330457527472</v>
      </c>
      <c r="E12" s="34">
        <v>681.71</v>
      </c>
      <c r="F12" s="34">
        <v>643.38220628377724</v>
      </c>
      <c r="G12" s="34">
        <v>678.60458775610653</v>
      </c>
      <c r="H12" s="34">
        <v>1463.6326194224998</v>
      </c>
      <c r="I12" s="34">
        <v>1865.05</v>
      </c>
      <c r="J12" s="34">
        <v>1919.9658853717499</v>
      </c>
      <c r="K12" s="34">
        <v>1536.7517277839997</v>
      </c>
      <c r="L12" s="34">
        <v>589.01</v>
      </c>
      <c r="M12" s="34">
        <v>582.54</v>
      </c>
      <c r="N12" s="34">
        <v>566.95000000000005</v>
      </c>
      <c r="O12" s="34">
        <v>566.25</v>
      </c>
      <c r="Q12" s="43">
        <v>45536</v>
      </c>
      <c r="R12" s="443">
        <v>8.8000000000000005E-3</v>
      </c>
      <c r="S12" s="443">
        <v>1.01E-2</v>
      </c>
      <c r="T12" s="443">
        <v>7.7000000000000002E-3</v>
      </c>
      <c r="U12" s="443">
        <v>8.6E-3</v>
      </c>
      <c r="V12" s="443">
        <v>4.0599999999999997E-2</v>
      </c>
      <c r="W12" s="443">
        <v>4.6199999999999998E-2</v>
      </c>
      <c r="X12" s="443">
        <v>3.5799999999999998E-2</v>
      </c>
      <c r="Y12" s="443">
        <v>3.9800000000000002E-2</v>
      </c>
      <c r="Z12" s="442">
        <f t="shared" si="0"/>
        <v>8.8000000000000005E-3</v>
      </c>
      <c r="AA12" s="442">
        <f t="shared" si="1"/>
        <v>4.0599999999999997E-2</v>
      </c>
      <c r="AC12" s="35">
        <v>8</v>
      </c>
      <c r="AD12" s="33" t="s">
        <v>685</v>
      </c>
      <c r="AE12" s="36">
        <f t="shared" si="2"/>
        <v>688.46330457527472</v>
      </c>
      <c r="AF12" s="36">
        <f t="shared" si="3"/>
        <v>1463.6326194224998</v>
      </c>
      <c r="AG12" s="36">
        <f t="shared" si="4"/>
        <v>589.01</v>
      </c>
    </row>
    <row r="13" spans="2:35" x14ac:dyDescent="0.25">
      <c r="B13" s="35">
        <v>9</v>
      </c>
      <c r="C13" s="33" t="s">
        <v>688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Q13" s="43">
        <v>45505</v>
      </c>
      <c r="R13" s="443">
        <v>0.01</v>
      </c>
      <c r="S13" s="443">
        <v>9.1999999999999998E-3</v>
      </c>
      <c r="T13" s="443">
        <v>8.0999999999999996E-3</v>
      </c>
      <c r="U13" s="443">
        <v>9.4000000000000004E-3</v>
      </c>
      <c r="V13" s="443">
        <v>4.5699999999999998E-2</v>
      </c>
      <c r="W13" s="443">
        <v>4.2700000000000002E-2</v>
      </c>
      <c r="X13" s="443">
        <v>3.78E-2</v>
      </c>
      <c r="Y13" s="443">
        <v>4.36E-2</v>
      </c>
      <c r="Z13" s="442">
        <f t="shared" si="0"/>
        <v>0.01</v>
      </c>
      <c r="AA13" s="442">
        <f t="shared" si="1"/>
        <v>4.5699999999999998E-2</v>
      </c>
      <c r="AC13" s="35">
        <v>9</v>
      </c>
      <c r="AD13" s="33" t="s">
        <v>687</v>
      </c>
      <c r="AE13" s="36">
        <f t="shared" si="2"/>
        <v>0</v>
      </c>
      <c r="AF13" s="36">
        <f t="shared" si="3"/>
        <v>0</v>
      </c>
      <c r="AG13" s="36">
        <f t="shared" si="4"/>
        <v>0</v>
      </c>
    </row>
    <row r="14" spans="2:35" x14ac:dyDescent="0.25">
      <c r="B14" s="35">
        <v>10</v>
      </c>
      <c r="C14" s="33" t="s">
        <v>689</v>
      </c>
      <c r="D14" s="34">
        <v>713.54868670537735</v>
      </c>
      <c r="E14" s="34">
        <v>703.38</v>
      </c>
      <c r="F14" s="34">
        <v>656.49736908236105</v>
      </c>
      <c r="G14" s="34">
        <v>712.34789124277609</v>
      </c>
      <c r="H14" s="34">
        <v>1569.107757105</v>
      </c>
      <c r="I14" s="34">
        <v>1969.19</v>
      </c>
      <c r="J14" s="34">
        <v>1992.8491974599997</v>
      </c>
      <c r="K14" s="34">
        <v>1659.8793472799998</v>
      </c>
      <c r="L14" s="34">
        <v>605.43000000000006</v>
      </c>
      <c r="M14" s="34">
        <v>597.1</v>
      </c>
      <c r="N14" s="34">
        <v>576.14</v>
      </c>
      <c r="O14" s="34">
        <v>587.69000000000005</v>
      </c>
      <c r="Q14" s="43">
        <v>45474</v>
      </c>
      <c r="R14" s="443">
        <v>9.4999999999999998E-3</v>
      </c>
      <c r="S14" s="443">
        <v>1.0200000000000001E-2</v>
      </c>
      <c r="T14" s="443">
        <v>6.8999999999999999E-3</v>
      </c>
      <c r="U14" s="443">
        <v>7.9000000000000008E-3</v>
      </c>
      <c r="V14" s="443">
        <v>4.3700000000000003E-2</v>
      </c>
      <c r="W14" s="443">
        <v>4.7600000000000003E-2</v>
      </c>
      <c r="X14" s="443">
        <v>3.1699999999999999E-2</v>
      </c>
      <c r="Y14" s="443">
        <v>3.6299999999999999E-2</v>
      </c>
      <c r="Z14" s="442">
        <f t="shared" si="0"/>
        <v>9.4999999999999998E-3</v>
      </c>
      <c r="AA14" s="442">
        <f t="shared" si="1"/>
        <v>4.3700000000000003E-2</v>
      </c>
      <c r="AC14" s="35">
        <v>10</v>
      </c>
      <c r="AD14" s="33" t="s">
        <v>689</v>
      </c>
      <c r="AE14" s="36">
        <f t="shared" si="2"/>
        <v>713.54868670537735</v>
      </c>
      <c r="AF14" s="36">
        <f t="shared" si="3"/>
        <v>1569.107757105</v>
      </c>
      <c r="AG14" s="36">
        <f t="shared" si="4"/>
        <v>605.43000000000006</v>
      </c>
    </row>
    <row r="15" spans="2:35" x14ac:dyDescent="0.25">
      <c r="D15" s="40">
        <v>3409</v>
      </c>
      <c r="E15" s="40">
        <v>3372</v>
      </c>
      <c r="F15" s="40">
        <v>3452</v>
      </c>
      <c r="G15" s="40">
        <v>3460</v>
      </c>
      <c r="H15" s="41">
        <v>45587</v>
      </c>
      <c r="I15" s="41">
        <v>45517</v>
      </c>
      <c r="J15" s="627">
        <v>45776</v>
      </c>
      <c r="K15" s="636">
        <v>45799</v>
      </c>
      <c r="L15" s="41"/>
      <c r="M15" s="41"/>
      <c r="N15" s="41"/>
      <c r="O15" s="41"/>
      <c r="Q15" s="43">
        <v>45444</v>
      </c>
      <c r="R15" s="443">
        <v>8.5000000000000006E-3</v>
      </c>
      <c r="S15" s="443">
        <v>1.03E-2</v>
      </c>
      <c r="T15" s="443">
        <v>7.6E-3</v>
      </c>
      <c r="U15" s="443">
        <v>7.6E-3</v>
      </c>
      <c r="V15" s="443">
        <v>3.9699999999999999E-2</v>
      </c>
      <c r="W15" s="443">
        <v>4.4200000000000003E-2</v>
      </c>
      <c r="X15" s="443">
        <v>3.5000000000000003E-2</v>
      </c>
      <c r="Y15" s="443">
        <v>3.4500000000000003E-2</v>
      </c>
      <c r="Z15" s="442">
        <f t="shared" si="0"/>
        <v>8.5000000000000006E-3</v>
      </c>
      <c r="AA15" s="442">
        <f t="shared" si="1"/>
        <v>3.9699999999999999E-2</v>
      </c>
      <c r="AC15" s="39"/>
      <c r="AD15" s="39"/>
      <c r="AE15" s="40">
        <f t="shared" si="2"/>
        <v>3409</v>
      </c>
      <c r="AF15" s="37">
        <f t="shared" si="3"/>
        <v>45587</v>
      </c>
      <c r="AG15" s="37"/>
    </row>
    <row r="16" spans="2:35" x14ac:dyDescent="0.25">
      <c r="D16" s="39"/>
      <c r="E16" s="39"/>
      <c r="F16" s="39"/>
      <c r="G16" s="39"/>
      <c r="H16" s="512">
        <v>0.75</v>
      </c>
      <c r="I16" s="512">
        <v>0.8</v>
      </c>
      <c r="J16" s="512">
        <v>0.85</v>
      </c>
      <c r="K16" s="512">
        <v>0.69799999999999995</v>
      </c>
      <c r="L16" s="39"/>
      <c r="M16" s="39"/>
      <c r="N16" s="39"/>
      <c r="O16" s="39"/>
      <c r="Q16" s="43">
        <v>45413</v>
      </c>
      <c r="R16" s="443">
        <v>8.8000000000000005E-3</v>
      </c>
      <c r="S16" s="443">
        <v>9.4000000000000004E-3</v>
      </c>
      <c r="T16" s="443">
        <v>8.5000000000000006E-3</v>
      </c>
      <c r="U16" s="443">
        <v>7.9000000000000008E-3</v>
      </c>
      <c r="V16" s="444">
        <v>4.07E-2</v>
      </c>
      <c r="W16" s="443">
        <v>4.2799999999999998E-2</v>
      </c>
      <c r="X16" s="443">
        <v>3.9100000000000003E-2</v>
      </c>
      <c r="Y16" s="443">
        <v>3.6299999999999999E-2</v>
      </c>
      <c r="Z16" s="442">
        <f t="shared" si="0"/>
        <v>8.8000000000000005E-3</v>
      </c>
      <c r="AA16" s="442">
        <f t="shared" si="1"/>
        <v>4.07E-2</v>
      </c>
      <c r="AC16" s="39"/>
      <c r="AD16" s="39"/>
      <c r="AE16" s="39"/>
      <c r="AF16" s="36">
        <f t="shared" si="3"/>
        <v>0.75</v>
      </c>
      <c r="AG16" s="36"/>
    </row>
    <row r="17" spans="3:27" hidden="1" x14ac:dyDescent="0.25">
      <c r="C17" s="472" t="s">
        <v>5045</v>
      </c>
      <c r="D17" t="s">
        <v>667</v>
      </c>
      <c r="Q17" s="43" t="s">
        <v>5163</v>
      </c>
      <c r="R17" s="443">
        <f>AVERAGE(R5:R16)</f>
        <v>8.4499999999999992E-3</v>
      </c>
      <c r="S17" s="443">
        <f t="shared" ref="S17:AA17" si="5">AVERAGE(S5:S16)</f>
        <v>9.3250000000000017E-3</v>
      </c>
      <c r="T17" s="443">
        <f t="shared" si="5"/>
        <v>7.6666666666666662E-3</v>
      </c>
      <c r="U17" s="443">
        <f t="shared" si="5"/>
        <v>8.0416666666666674E-3</v>
      </c>
      <c r="V17" s="443">
        <f t="shared" si="5"/>
        <v>3.8941666666666673E-2</v>
      </c>
      <c r="W17" s="443">
        <f t="shared" si="5"/>
        <v>4.2716666666666674E-2</v>
      </c>
      <c r="X17" s="443">
        <f t="shared" si="5"/>
        <v>3.5374999999999997E-2</v>
      </c>
      <c r="Y17" s="443">
        <f t="shared" si="5"/>
        <v>3.7033333333333328E-2</v>
      </c>
      <c r="Z17" s="442">
        <f t="shared" si="5"/>
        <v>8.4499999999999992E-3</v>
      </c>
      <c r="AA17" s="442">
        <f t="shared" si="5"/>
        <v>3.8941666666666673E-2</v>
      </c>
    </row>
    <row r="18" spans="3:27" hidden="1" x14ac:dyDescent="0.25">
      <c r="C18" s="472" t="s">
        <v>5042</v>
      </c>
      <c r="D18" t="s">
        <v>668</v>
      </c>
    </row>
    <row r="19" spans="3:27" hidden="1" x14ac:dyDescent="0.25">
      <c r="C19" s="472">
        <v>1</v>
      </c>
      <c r="D19" t="s">
        <v>669</v>
      </c>
    </row>
    <row r="20" spans="3:27" hidden="1" x14ac:dyDescent="0.25">
      <c r="C20" s="472" t="s">
        <v>690</v>
      </c>
      <c r="D20" t="s">
        <v>670</v>
      </c>
    </row>
    <row r="21" spans="3:27" hidden="1" x14ac:dyDescent="0.25">
      <c r="C21" s="472" t="s">
        <v>5042</v>
      </c>
      <c r="D21" s="29" t="s">
        <v>5043</v>
      </c>
      <c r="M21" s="29" t="s">
        <v>691</v>
      </c>
    </row>
    <row r="22" spans="3:27" hidden="1" x14ac:dyDescent="0.25">
      <c r="F22" s="29" t="s">
        <v>692</v>
      </c>
    </row>
    <row r="23" spans="3:27" hidden="1" x14ac:dyDescent="0.25">
      <c r="C23" s="29" t="s">
        <v>5165</v>
      </c>
      <c r="D23" s="29" t="s">
        <v>5166</v>
      </c>
    </row>
    <row r="24" spans="3:27" hidden="1" x14ac:dyDescent="0.25">
      <c r="C24" s="472" t="s">
        <v>5045</v>
      </c>
      <c r="D24" t="s">
        <v>667</v>
      </c>
    </row>
    <row r="25" spans="3:27" hidden="1" x14ac:dyDescent="0.25">
      <c r="C25" s="472" t="s">
        <v>5042</v>
      </c>
      <c r="D25" t="s">
        <v>668</v>
      </c>
    </row>
    <row r="26" spans="3:27" hidden="1" x14ac:dyDescent="0.25">
      <c r="C26" s="472"/>
      <c r="D26" t="s">
        <v>669</v>
      </c>
    </row>
    <row r="27" spans="3:27" hidden="1" x14ac:dyDescent="0.25">
      <c r="C27" s="472" t="s">
        <v>690</v>
      </c>
      <c r="D27" t="s">
        <v>670</v>
      </c>
    </row>
    <row r="28" spans="3:27" hidden="1" x14ac:dyDescent="0.25">
      <c r="C28" s="472" t="s">
        <v>5042</v>
      </c>
      <c r="D28" s="29" t="s">
        <v>5043</v>
      </c>
    </row>
    <row r="29" spans="3:27" x14ac:dyDescent="0.25">
      <c r="D29" s="29" t="s">
        <v>5864</v>
      </c>
    </row>
    <row r="30" spans="3:27" x14ac:dyDescent="0.25">
      <c r="C30" s="29" t="s">
        <v>669</v>
      </c>
      <c r="D30" s="627">
        <v>45789</v>
      </c>
    </row>
    <row r="31" spans="3:27" x14ac:dyDescent="0.25">
      <c r="C31" s="29" t="s">
        <v>667</v>
      </c>
      <c r="D31" s="627">
        <v>45772</v>
      </c>
    </row>
    <row r="32" spans="3:27" x14ac:dyDescent="0.25">
      <c r="C32" s="29" t="s">
        <v>668</v>
      </c>
      <c r="D32" s="627">
        <v>45772</v>
      </c>
    </row>
    <row r="33" spans="3:4" x14ac:dyDescent="0.25">
      <c r="C33" s="29" t="s">
        <v>670</v>
      </c>
      <c r="D33" s="627">
        <v>45799</v>
      </c>
    </row>
    <row r="34" spans="3:4" x14ac:dyDescent="0.25">
      <c r="C34" s="29" t="s">
        <v>5865</v>
      </c>
      <c r="D34" s="627">
        <v>45772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C3:A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A1:AE646"/>
  <sheetViews>
    <sheetView zoomScaleNormal="100" workbookViewId="0">
      <selection activeCell="D1" sqref="D1"/>
    </sheetView>
  </sheetViews>
  <sheetFormatPr defaultRowHeight="15" x14ac:dyDescent="0.25"/>
  <cols>
    <col min="1" max="1" width="13.140625" customWidth="1"/>
    <col min="2" max="2" width="9" customWidth="1"/>
    <col min="3" max="4" width="25" bestFit="1" customWidth="1"/>
    <col min="5" max="6" width="18.42578125" customWidth="1"/>
    <col min="7" max="7" width="12.42578125" customWidth="1"/>
    <col min="9" max="9" width="13.140625" customWidth="1"/>
    <col min="10" max="10" width="9" customWidth="1"/>
    <col min="11" max="11" width="26.42578125" bestFit="1" customWidth="1"/>
    <col min="12" max="12" width="30.28515625" bestFit="1" customWidth="1"/>
    <col min="13" max="13" width="18.42578125" customWidth="1"/>
    <col min="14" max="14" width="16.85546875" style="487" bestFit="1" customWidth="1"/>
    <col min="15" max="15" width="12.42578125" customWidth="1"/>
    <col min="16" max="16" width="11.5703125" customWidth="1"/>
    <col min="17" max="17" width="13.140625" customWidth="1"/>
    <col min="18" max="18" width="9" customWidth="1"/>
    <col min="19" max="20" width="20.7109375" bestFit="1" customWidth="1"/>
    <col min="21" max="22" width="18.42578125" customWidth="1"/>
    <col min="23" max="23" width="12.42578125" customWidth="1"/>
    <col min="24" max="24" width="11.5703125" customWidth="1"/>
    <col min="25" max="25" width="13.140625" customWidth="1"/>
    <col min="26" max="26" width="9" customWidth="1"/>
    <col min="27" max="27" width="22.28515625" bestFit="1" customWidth="1"/>
    <col min="28" max="28" width="26.140625" bestFit="1" customWidth="1"/>
    <col min="29" max="30" width="18.42578125" style="478" customWidth="1"/>
    <col min="31" max="31" width="12.42578125" customWidth="1"/>
  </cols>
  <sheetData>
    <row r="1" spans="1:31" x14ac:dyDescent="0.25">
      <c r="A1" s="412" t="s">
        <v>693</v>
      </c>
      <c r="B1" s="412" t="s">
        <v>694</v>
      </c>
      <c r="C1" s="412" t="s">
        <v>695</v>
      </c>
      <c r="D1" s="412" t="s">
        <v>696</v>
      </c>
      <c r="E1" s="412" t="s">
        <v>697</v>
      </c>
      <c r="F1" s="486" t="s">
        <v>698</v>
      </c>
      <c r="G1" s="412" t="s">
        <v>699</v>
      </c>
      <c r="I1" s="412" t="s">
        <v>693</v>
      </c>
      <c r="J1" s="412" t="s">
        <v>694</v>
      </c>
      <c r="K1" s="412" t="s">
        <v>695</v>
      </c>
      <c r="L1" s="412" t="s">
        <v>696</v>
      </c>
      <c r="M1" s="412" t="s">
        <v>697</v>
      </c>
      <c r="N1" s="486" t="s">
        <v>698</v>
      </c>
      <c r="O1" s="412" t="s">
        <v>699</v>
      </c>
      <c r="P1" s="412"/>
      <c r="Q1" s="412" t="s">
        <v>693</v>
      </c>
      <c r="R1" s="412" t="s">
        <v>694</v>
      </c>
      <c r="S1" s="412" t="s">
        <v>695</v>
      </c>
      <c r="T1" s="484" t="s">
        <v>696</v>
      </c>
      <c r="U1" s="412" t="s">
        <v>697</v>
      </c>
      <c r="V1" s="486" t="s">
        <v>698</v>
      </c>
      <c r="W1" s="412" t="s">
        <v>699</v>
      </c>
      <c r="X1" s="412"/>
      <c r="Y1" s="412" t="s">
        <v>693</v>
      </c>
      <c r="Z1" s="412" t="s">
        <v>694</v>
      </c>
      <c r="AA1" s="412" t="s">
        <v>695</v>
      </c>
      <c r="AB1" s="484" t="s">
        <v>696</v>
      </c>
      <c r="AC1" s="412" t="s">
        <v>697</v>
      </c>
      <c r="AD1" s="486" t="s">
        <v>698</v>
      </c>
      <c r="AE1" s="412" t="s">
        <v>699</v>
      </c>
    </row>
    <row r="2" spans="1:31" x14ac:dyDescent="0.25">
      <c r="A2" t="s">
        <v>668</v>
      </c>
      <c r="B2" t="s">
        <v>495</v>
      </c>
      <c r="C2" t="s">
        <v>700</v>
      </c>
      <c r="D2" t="str">
        <f t="shared" ref="D2:D65" si="0">CONCATENATE(B2," - ",C2)</f>
        <v>RS - Água Santa</v>
      </c>
      <c r="E2" s="482">
        <f>VLOOKUP(D2,'Res Nº5.290'!A:B,2,)</f>
        <v>0.47500000000000003</v>
      </c>
      <c r="F2" s="485">
        <f>(Tabela4[[#This Row],[Horas]]-INT(Tabela4[[#This Row],[Horas]]))*24</f>
        <v>11.4</v>
      </c>
      <c r="G2">
        <v>2.2999999999999998</v>
      </c>
      <c r="I2" t="s">
        <v>701</v>
      </c>
      <c r="J2" t="s">
        <v>500</v>
      </c>
      <c r="K2" t="s">
        <v>702</v>
      </c>
      <c r="L2" s="483" t="str">
        <f t="shared" ref="L2:L33" si="1">CONCATENATE(J2," - ",K2)</f>
        <v>SP - Águas de Lindóia</v>
      </c>
      <c r="M2" s="478">
        <f>VLOOKUP(L2,'Res Nº5.290'!A:B,2,FALSE)</f>
        <v>0.47638888888888892</v>
      </c>
      <c r="N2" s="487">
        <f>(Tabela5[[#This Row],[Horas]]-INT(Tabela5[[#This Row],[Horas]]))*24</f>
        <v>11.433333333333334</v>
      </c>
      <c r="O2">
        <v>2.7</v>
      </c>
      <c r="Q2" t="s">
        <v>703</v>
      </c>
      <c r="R2" t="s">
        <v>500</v>
      </c>
      <c r="S2" t="s">
        <v>704</v>
      </c>
      <c r="T2" t="str">
        <f t="shared" ref="T2:T28" si="2">CONCATENATE(R2," - ",S2)</f>
        <v>SP - Alumínio</v>
      </c>
      <c r="U2" s="483">
        <f>VLOOKUP(T2,'Res Nº5.290'!A:B,2,FALSE)</f>
        <v>0.47638888888888892</v>
      </c>
      <c r="V2" s="485">
        <f>(Tabela7[[#This Row],[Horas]]-INT(Tabela7[[#This Row],[Horas]]))*24</f>
        <v>11.433333333333334</v>
      </c>
      <c r="W2">
        <v>2.7</v>
      </c>
      <c r="Y2" t="s">
        <v>705</v>
      </c>
      <c r="Z2" t="s">
        <v>500</v>
      </c>
      <c r="AA2" t="s">
        <v>706</v>
      </c>
      <c r="AB2" t="str">
        <f>CONCATENATE(Z2," - ",AA2)</f>
        <v>SP - Alambari</v>
      </c>
      <c r="AC2" s="482">
        <f>VLOOKUP(AB2,'Res Nº5.290'!A:B,2,FALSE)</f>
        <v>0.47638888888888892</v>
      </c>
      <c r="AD2" s="485">
        <f>(Tabela6[[#This Row],[Horas]]-INT(Tabela6[[#This Row],[Horas]]))*24</f>
        <v>11.433333333333334</v>
      </c>
      <c r="AE2">
        <v>2.7</v>
      </c>
    </row>
    <row r="3" spans="1:31" x14ac:dyDescent="0.25">
      <c r="A3" t="s">
        <v>668</v>
      </c>
      <c r="B3" t="s">
        <v>495</v>
      </c>
      <c r="C3" t="s">
        <v>707</v>
      </c>
      <c r="D3" t="str">
        <f t="shared" si="0"/>
        <v>RS - Ajuricaba</v>
      </c>
      <c r="E3" s="482">
        <f>VLOOKUP(D3,'Res Nº5.290'!A:B,2,)</f>
        <v>0.47500000000000003</v>
      </c>
      <c r="F3" s="485">
        <f>(Tabela4[[#This Row],[Horas]]-INT(Tabela4[[#This Row],[Horas]]))*24</f>
        <v>11.4</v>
      </c>
      <c r="G3">
        <v>2.2999999999999998</v>
      </c>
      <c r="I3" t="s">
        <v>701</v>
      </c>
      <c r="J3" t="s">
        <v>500</v>
      </c>
      <c r="K3" t="s">
        <v>708</v>
      </c>
      <c r="L3" s="483" t="str">
        <f t="shared" si="1"/>
        <v>SP - Águas de São Pedro</v>
      </c>
      <c r="M3" s="478">
        <f>VLOOKUP(L3,'Res Nº5.290'!A:B,2,FALSE)</f>
        <v>0.47638888888888892</v>
      </c>
      <c r="N3" s="487">
        <f>(Tabela5[[#This Row],[Horas]]-INT(Tabela5[[#This Row],[Horas]]))*24</f>
        <v>11.433333333333334</v>
      </c>
      <c r="O3">
        <v>2.7</v>
      </c>
      <c r="Q3" t="s">
        <v>703</v>
      </c>
      <c r="R3" t="s">
        <v>500</v>
      </c>
      <c r="S3" t="s">
        <v>709</v>
      </c>
      <c r="T3" t="str">
        <f t="shared" si="2"/>
        <v>SP - Araçariguama</v>
      </c>
      <c r="U3" s="483">
        <f>VLOOKUP(T3,'Res Nº5.290'!A:B,2,FALSE)</f>
        <v>0.47638888888888892</v>
      </c>
      <c r="V3" s="485">
        <f>(Tabela7[[#This Row],[Horas]]-INT(Tabela7[[#This Row],[Horas]]))*24</f>
        <v>11.433333333333334</v>
      </c>
      <c r="W3">
        <v>2.7</v>
      </c>
      <c r="Y3" t="s">
        <v>705</v>
      </c>
      <c r="Z3" t="s">
        <v>500</v>
      </c>
      <c r="AA3" t="s">
        <v>710</v>
      </c>
      <c r="AB3" t="str">
        <f t="shared" ref="AB3:AB46" si="3">CONCATENATE(Z3," - ",AA3)</f>
        <v>SP - Guareí</v>
      </c>
      <c r="AC3" s="482">
        <f>VLOOKUP(AB3,'Res Nº5.290'!A:B,2,FALSE)</f>
        <v>0.47638888888888892</v>
      </c>
      <c r="AD3" s="485">
        <f>(Tabela6[[#This Row],[Horas]]-INT(Tabela6[[#This Row],[Horas]]))*24</f>
        <v>11.433333333333334</v>
      </c>
      <c r="AE3">
        <v>2.7</v>
      </c>
    </row>
    <row r="4" spans="1:31" x14ac:dyDescent="0.25">
      <c r="A4" t="s">
        <v>668</v>
      </c>
      <c r="B4" t="s">
        <v>495</v>
      </c>
      <c r="C4" t="s">
        <v>711</v>
      </c>
      <c r="D4" t="str">
        <f t="shared" si="0"/>
        <v>RS - Alecrim</v>
      </c>
      <c r="E4" s="482">
        <f>VLOOKUP(D4,'Res Nº5.290'!A:B,2,)</f>
        <v>0.47500000000000003</v>
      </c>
      <c r="F4" s="485">
        <f>(Tabela4[[#This Row],[Horas]]-INT(Tabela4[[#This Row],[Horas]]))*24</f>
        <v>11.4</v>
      </c>
      <c r="G4">
        <v>2.2999999999999998</v>
      </c>
      <c r="I4" t="s">
        <v>701</v>
      </c>
      <c r="J4" t="s">
        <v>500</v>
      </c>
      <c r="K4" t="s">
        <v>712</v>
      </c>
      <c r="L4" s="483" t="str">
        <f t="shared" si="1"/>
        <v>SP - Agudos</v>
      </c>
      <c r="M4" s="478">
        <f>VLOOKUP(L4,'Res Nº5.290'!A:B,2,FALSE)</f>
        <v>0.47638888888888892</v>
      </c>
      <c r="N4" s="487">
        <f>(Tabela5[[#This Row],[Horas]]-INT(Tabela5[[#This Row],[Horas]]))*24</f>
        <v>11.433333333333334</v>
      </c>
      <c r="O4">
        <v>2.7</v>
      </c>
      <c r="Q4" t="s">
        <v>703</v>
      </c>
      <c r="R4" t="s">
        <v>500</v>
      </c>
      <c r="S4" t="s">
        <v>713</v>
      </c>
      <c r="T4" t="str">
        <f t="shared" si="2"/>
        <v>SP - Araçoiaba da Serra</v>
      </c>
      <c r="U4" s="483">
        <f>VLOOKUP(T4,'Res Nº5.290'!A:B,2,FALSE)</f>
        <v>0.47638888888888892</v>
      </c>
      <c r="V4" s="485">
        <f>(Tabela7[[#This Row],[Horas]]-INT(Tabela7[[#This Row],[Horas]]))*24</f>
        <v>11.433333333333334</v>
      </c>
      <c r="W4">
        <v>2.7</v>
      </c>
      <c r="Y4" t="s">
        <v>705</v>
      </c>
      <c r="Z4" t="s">
        <v>500</v>
      </c>
      <c r="AA4" t="s">
        <v>714</v>
      </c>
      <c r="AB4" t="str">
        <f t="shared" si="3"/>
        <v>SP - Itapetininga</v>
      </c>
      <c r="AC4" s="482">
        <f>VLOOKUP(AB4,'Res Nº5.290'!A:B,2,FALSE)</f>
        <v>0.47638888888888892</v>
      </c>
      <c r="AD4" s="485">
        <f>(Tabela6[[#This Row],[Horas]]-INT(Tabela6[[#This Row],[Horas]]))*24</f>
        <v>11.433333333333334</v>
      </c>
      <c r="AE4">
        <v>2.7</v>
      </c>
    </row>
    <row r="5" spans="1:31" x14ac:dyDescent="0.25">
      <c r="A5" t="s">
        <v>668</v>
      </c>
      <c r="B5" t="s">
        <v>495</v>
      </c>
      <c r="C5" t="s">
        <v>715</v>
      </c>
      <c r="D5" t="str">
        <f t="shared" si="0"/>
        <v>RS - Alegria</v>
      </c>
      <c r="E5" s="482">
        <f>VLOOKUP(D5,'Res Nº5.290'!A:B,2,)</f>
        <v>0.47500000000000003</v>
      </c>
      <c r="F5" s="485">
        <f>(Tabela4[[#This Row],[Horas]]-INT(Tabela4[[#This Row],[Horas]]))*24</f>
        <v>11.4</v>
      </c>
      <c r="G5">
        <v>2.2999999999999998</v>
      </c>
      <c r="I5" t="s">
        <v>701</v>
      </c>
      <c r="J5" t="s">
        <v>500</v>
      </c>
      <c r="K5" t="s">
        <v>716</v>
      </c>
      <c r="L5" s="483" t="str">
        <f t="shared" si="1"/>
        <v>SP - Altair</v>
      </c>
      <c r="M5" s="478">
        <f>VLOOKUP(L5,'Res Nº5.290'!A:B,2,FALSE)</f>
        <v>0.4770833333333333</v>
      </c>
      <c r="N5" s="487">
        <f>(Tabela5[[#This Row],[Horas]]-INT(Tabela5[[#This Row],[Horas]]))*24</f>
        <v>11.45</v>
      </c>
      <c r="O5">
        <v>2.7</v>
      </c>
      <c r="Q5" t="s">
        <v>703</v>
      </c>
      <c r="R5" t="s">
        <v>500</v>
      </c>
      <c r="S5" t="s">
        <v>717</v>
      </c>
      <c r="T5" t="str">
        <f t="shared" si="2"/>
        <v>SP - Boituva</v>
      </c>
      <c r="U5" s="483">
        <f>VLOOKUP(T5,'Res Nº5.290'!A:B,2,FALSE)</f>
        <v>0.47638888888888892</v>
      </c>
      <c r="V5" s="485">
        <f>(Tabela7[[#This Row],[Horas]]-INT(Tabela7[[#This Row],[Horas]]))*24</f>
        <v>11.433333333333334</v>
      </c>
      <c r="W5">
        <v>2.7</v>
      </c>
      <c r="Y5" t="s">
        <v>705</v>
      </c>
      <c r="Z5" t="s">
        <v>500</v>
      </c>
      <c r="AA5" t="s">
        <v>718</v>
      </c>
      <c r="AB5" t="str">
        <f t="shared" si="3"/>
        <v>SP - São Miguel Arcanjo</v>
      </c>
      <c r="AC5" s="482">
        <f>VLOOKUP(AB5,'Res Nº5.290'!A:B,2,FALSE)</f>
        <v>0.47638888888888892</v>
      </c>
      <c r="AD5" s="485">
        <f>(Tabela6[[#This Row],[Horas]]-INT(Tabela6[[#This Row],[Horas]]))*24</f>
        <v>11.433333333333334</v>
      </c>
      <c r="AE5">
        <v>2.7</v>
      </c>
    </row>
    <row r="6" spans="1:31" x14ac:dyDescent="0.25">
      <c r="A6" t="s">
        <v>668</v>
      </c>
      <c r="B6" t="s">
        <v>495</v>
      </c>
      <c r="C6" t="s">
        <v>719</v>
      </c>
      <c r="D6" t="str">
        <f t="shared" si="0"/>
        <v>RS - Alpestre</v>
      </c>
      <c r="E6" s="482">
        <f>VLOOKUP(D6,'Res Nº5.290'!A:B,2,)</f>
        <v>0.47569444444444442</v>
      </c>
      <c r="F6" s="485">
        <f>(Tabela4[[#This Row],[Horas]]-INT(Tabela4[[#This Row],[Horas]]))*24</f>
        <v>11.416666666666666</v>
      </c>
      <c r="G6">
        <v>2.2999999999999998</v>
      </c>
      <c r="I6" t="s">
        <v>701</v>
      </c>
      <c r="J6" t="s">
        <v>500</v>
      </c>
      <c r="K6" t="s">
        <v>720</v>
      </c>
      <c r="L6" s="483" t="str">
        <f t="shared" si="1"/>
        <v>SP - Altinópolis</v>
      </c>
      <c r="M6" s="478">
        <f>VLOOKUP(L6,'Res Nº5.290'!A:B,2,FALSE)</f>
        <v>0.47638888888888892</v>
      </c>
      <c r="N6" s="487">
        <f>(Tabela5[[#This Row],[Horas]]-INT(Tabela5[[#This Row],[Horas]]))*24</f>
        <v>11.433333333333334</v>
      </c>
      <c r="O6">
        <v>2.7</v>
      </c>
      <c r="Q6" t="s">
        <v>703</v>
      </c>
      <c r="R6" t="s">
        <v>500</v>
      </c>
      <c r="S6" t="s">
        <v>721</v>
      </c>
      <c r="T6" t="str">
        <f t="shared" si="2"/>
        <v>SP - Campo Limpo Paulista</v>
      </c>
      <c r="U6" s="483">
        <f>VLOOKUP(T6,'Res Nº5.290'!A:B,2,FALSE)</f>
        <v>0.47638888888888892</v>
      </c>
      <c r="V6" s="485">
        <f>(Tabela7[[#This Row],[Horas]]-INT(Tabela7[[#This Row],[Horas]]))*24</f>
        <v>11.433333333333334</v>
      </c>
      <c r="W6">
        <v>2.7</v>
      </c>
      <c r="Y6" t="s">
        <v>705</v>
      </c>
      <c r="Z6" t="s">
        <v>500</v>
      </c>
      <c r="AA6" t="s">
        <v>722</v>
      </c>
      <c r="AB6" t="str">
        <f t="shared" si="3"/>
        <v>SP - Sarapuí</v>
      </c>
      <c r="AC6" s="482">
        <f>VLOOKUP(AB6,'Res Nº5.290'!A:B,2,FALSE)</f>
        <v>0.47638888888888892</v>
      </c>
      <c r="AD6" s="485">
        <f>(Tabela6[[#This Row],[Horas]]-INT(Tabela6[[#This Row],[Horas]]))*24</f>
        <v>11.433333333333334</v>
      </c>
      <c r="AE6">
        <v>2.7</v>
      </c>
    </row>
    <row r="7" spans="1:31" x14ac:dyDescent="0.25">
      <c r="A7" t="s">
        <v>668</v>
      </c>
      <c r="B7" t="s">
        <v>495</v>
      </c>
      <c r="C7" t="s">
        <v>723</v>
      </c>
      <c r="D7" t="str">
        <f t="shared" si="0"/>
        <v>RS - Alto Feliz</v>
      </c>
      <c r="E7" s="482">
        <f>VLOOKUP(D7,'Res Nº5.290'!A:B,2,)</f>
        <v>0.47500000000000003</v>
      </c>
      <c r="F7" s="485">
        <f>(Tabela4[[#This Row],[Horas]]-INT(Tabela4[[#This Row],[Horas]]))*24</f>
        <v>11.4</v>
      </c>
      <c r="G7">
        <v>2.2999999999999998</v>
      </c>
      <c r="I7" t="s">
        <v>701</v>
      </c>
      <c r="J7" t="s">
        <v>500</v>
      </c>
      <c r="K7" t="s">
        <v>724</v>
      </c>
      <c r="L7" s="483" t="str">
        <f t="shared" si="1"/>
        <v>SP - Alto Alegre</v>
      </c>
      <c r="M7" s="478">
        <f>VLOOKUP(L7,'Res Nº5.290'!A:B,2,FALSE)</f>
        <v>0.47638888888888892</v>
      </c>
      <c r="N7" s="487">
        <f>(Tabela5[[#This Row],[Horas]]-INT(Tabela5[[#This Row],[Horas]]))*24</f>
        <v>11.433333333333334</v>
      </c>
      <c r="O7">
        <v>2.7</v>
      </c>
      <c r="Q7" t="s">
        <v>703</v>
      </c>
      <c r="R7" t="s">
        <v>500</v>
      </c>
      <c r="S7" t="s">
        <v>725</v>
      </c>
      <c r="T7" t="str">
        <f t="shared" si="2"/>
        <v>SP - Capela do Alto</v>
      </c>
      <c r="U7" s="483">
        <f>VLOOKUP(T7,'Res Nº5.290'!A:B,2,FALSE)</f>
        <v>0.47638888888888892</v>
      </c>
      <c r="V7" s="485">
        <f>(Tabela7[[#This Row],[Horas]]-INT(Tabela7[[#This Row],[Horas]]))*24</f>
        <v>11.433333333333334</v>
      </c>
      <c r="W7">
        <v>2.7</v>
      </c>
      <c r="Y7" t="s">
        <v>705</v>
      </c>
      <c r="Z7" t="s">
        <v>500</v>
      </c>
      <c r="AA7" t="s">
        <v>726</v>
      </c>
      <c r="AB7" t="str">
        <f t="shared" si="3"/>
        <v>SP - Águas de Santa Bárbara</v>
      </c>
      <c r="AC7" s="482">
        <f>VLOOKUP(AB7,'Res Nº5.290'!A:B,2,FALSE)</f>
        <v>0.47638888888888892</v>
      </c>
      <c r="AD7" s="485">
        <f>(Tabela6[[#This Row],[Horas]]-INT(Tabela6[[#This Row],[Horas]]))*24</f>
        <v>11.433333333333334</v>
      </c>
      <c r="AE7">
        <v>2.7</v>
      </c>
    </row>
    <row r="8" spans="1:31" x14ac:dyDescent="0.25">
      <c r="A8" t="s">
        <v>668</v>
      </c>
      <c r="B8" t="s">
        <v>495</v>
      </c>
      <c r="C8" t="s">
        <v>727</v>
      </c>
      <c r="D8" t="str">
        <f t="shared" si="0"/>
        <v>RS - Ametista do Sul</v>
      </c>
      <c r="E8" s="482">
        <f>VLOOKUP(D8,'Res Nº5.290'!A:B,2,)</f>
        <v>0.47569444444444442</v>
      </c>
      <c r="F8" s="485">
        <f>(Tabela4[[#This Row],[Horas]]-INT(Tabela4[[#This Row],[Horas]]))*24</f>
        <v>11.416666666666666</v>
      </c>
      <c r="G8">
        <v>2.2999999999999998</v>
      </c>
      <c r="I8" t="s">
        <v>701</v>
      </c>
      <c r="J8" t="s">
        <v>500</v>
      </c>
      <c r="K8" t="s">
        <v>728</v>
      </c>
      <c r="L8" s="483" t="str">
        <f t="shared" si="1"/>
        <v>SP - Álvaro de Carvalho</v>
      </c>
      <c r="M8" s="478">
        <f>VLOOKUP(L8,'Res Nº5.290'!A:B,2,FALSE)</f>
        <v>0.47638888888888892</v>
      </c>
      <c r="N8" s="487">
        <f>(Tabela5[[#This Row],[Horas]]-INT(Tabela5[[#This Row],[Horas]]))*24</f>
        <v>11.433333333333334</v>
      </c>
      <c r="O8">
        <v>2.7</v>
      </c>
      <c r="Q8" t="s">
        <v>703</v>
      </c>
      <c r="R8" t="s">
        <v>500</v>
      </c>
      <c r="S8" t="s">
        <v>729</v>
      </c>
      <c r="T8" t="str">
        <f t="shared" si="2"/>
        <v>SP - Cubatão</v>
      </c>
      <c r="U8" s="483">
        <f>VLOOKUP(T8,'Res Nº5.290'!A:B,2,FALSE)</f>
        <v>0.47638888888888892</v>
      </c>
      <c r="V8" s="485">
        <f>(Tabela7[[#This Row],[Horas]]-INT(Tabela7[[#This Row],[Horas]]))*24</f>
        <v>11.433333333333334</v>
      </c>
      <c r="W8">
        <v>2.7</v>
      </c>
      <c r="Y8" t="s">
        <v>705</v>
      </c>
      <c r="Z8" t="s">
        <v>500</v>
      </c>
      <c r="AA8" t="s">
        <v>730</v>
      </c>
      <c r="AB8" t="str">
        <f t="shared" si="3"/>
        <v>SP - Arandu</v>
      </c>
      <c r="AC8" s="482">
        <f>VLOOKUP(AB8,'Res Nº5.290'!A:B,2,FALSE)</f>
        <v>0.47638888888888892</v>
      </c>
      <c r="AD8" s="485">
        <f>(Tabela6[[#This Row],[Horas]]-INT(Tabela6[[#This Row],[Horas]]))*24</f>
        <v>11.433333333333334</v>
      </c>
      <c r="AE8">
        <v>2.7</v>
      </c>
    </row>
    <row r="9" spans="1:31" x14ac:dyDescent="0.25">
      <c r="A9" t="s">
        <v>668</v>
      </c>
      <c r="B9" t="s">
        <v>495</v>
      </c>
      <c r="C9" t="s">
        <v>731</v>
      </c>
      <c r="D9" t="str">
        <f t="shared" si="0"/>
        <v>RS - André da Rocha</v>
      </c>
      <c r="E9" s="482">
        <f>VLOOKUP(D9,'Res Nº5.290'!A:B,2,)</f>
        <v>0.47500000000000003</v>
      </c>
      <c r="F9" s="485">
        <f>(Tabela4[[#This Row],[Horas]]-INT(Tabela4[[#This Row],[Horas]]))*24</f>
        <v>11.4</v>
      </c>
      <c r="G9">
        <v>2.2999999999999998</v>
      </c>
      <c r="I9" t="s">
        <v>701</v>
      </c>
      <c r="J9" t="s">
        <v>500</v>
      </c>
      <c r="K9" t="s">
        <v>732</v>
      </c>
      <c r="L9" s="483" t="str">
        <f t="shared" si="1"/>
        <v>SP - Alvinlândia</v>
      </c>
      <c r="M9" s="478">
        <f>VLOOKUP(L9,'Res Nº5.290'!A:B,2,FALSE)</f>
        <v>0.47638888888888892</v>
      </c>
      <c r="N9" s="487">
        <f>(Tabela5[[#This Row],[Horas]]-INT(Tabela5[[#This Row],[Horas]]))*24</f>
        <v>11.433333333333334</v>
      </c>
      <c r="O9">
        <v>2.7</v>
      </c>
      <c r="Q9" t="s">
        <v>703</v>
      </c>
      <c r="R9" t="s">
        <v>500</v>
      </c>
      <c r="S9" t="s">
        <v>733</v>
      </c>
      <c r="T9" t="str">
        <f t="shared" si="2"/>
        <v>SP - Guarujá</v>
      </c>
      <c r="U9" s="483">
        <f>VLOOKUP(T9,'Res Nº5.290'!A:B,2,FALSE)</f>
        <v>0.47638888888888892</v>
      </c>
      <c r="V9" s="485">
        <f>(Tabela7[[#This Row],[Horas]]-INT(Tabela7[[#This Row],[Horas]]))*24</f>
        <v>11.433333333333334</v>
      </c>
      <c r="W9">
        <v>2.7</v>
      </c>
      <c r="Y9" t="s">
        <v>705</v>
      </c>
      <c r="Z9" t="s">
        <v>500</v>
      </c>
      <c r="AA9" t="s">
        <v>734</v>
      </c>
      <c r="AB9" t="str">
        <f t="shared" si="3"/>
        <v>SP - Avaré</v>
      </c>
      <c r="AC9" s="482">
        <f>VLOOKUP(AB9,'Res Nº5.290'!A:B,2,FALSE)</f>
        <v>0.47638888888888892</v>
      </c>
      <c r="AD9" s="485">
        <f>(Tabela6[[#This Row],[Horas]]-INT(Tabela6[[#This Row],[Horas]]))*24</f>
        <v>11.433333333333334</v>
      </c>
      <c r="AE9">
        <v>2.7</v>
      </c>
    </row>
    <row r="10" spans="1:31" x14ac:dyDescent="0.25">
      <c r="A10" t="s">
        <v>668</v>
      </c>
      <c r="B10" t="s">
        <v>495</v>
      </c>
      <c r="C10" t="s">
        <v>735</v>
      </c>
      <c r="D10" t="str">
        <f t="shared" si="0"/>
        <v>RS - Anta Gorda</v>
      </c>
      <c r="E10" s="482">
        <f>VLOOKUP(D10,'Res Nº5.290'!A:B,2,)</f>
        <v>0.47500000000000003</v>
      </c>
      <c r="F10" s="485">
        <f>(Tabela4[[#This Row],[Horas]]-INT(Tabela4[[#This Row],[Horas]]))*24</f>
        <v>11.4</v>
      </c>
      <c r="G10">
        <v>2.2999999999999998</v>
      </c>
      <c r="I10" t="s">
        <v>701</v>
      </c>
      <c r="J10" t="s">
        <v>500</v>
      </c>
      <c r="K10" t="s">
        <v>736</v>
      </c>
      <c r="L10" s="483" t="str">
        <f t="shared" si="1"/>
        <v>SP - Americana</v>
      </c>
      <c r="M10" s="478">
        <f>VLOOKUP(L10,'Res Nº5.290'!A:B,2,FALSE)</f>
        <v>0.47638888888888892</v>
      </c>
      <c r="N10" s="487">
        <f>(Tabela5[[#This Row],[Horas]]-INT(Tabela5[[#This Row],[Horas]]))*24</f>
        <v>11.433333333333334</v>
      </c>
      <c r="O10">
        <v>2.7</v>
      </c>
      <c r="Q10" t="s">
        <v>703</v>
      </c>
      <c r="R10" t="s">
        <v>500</v>
      </c>
      <c r="S10" t="s">
        <v>737</v>
      </c>
      <c r="T10" t="str">
        <f t="shared" si="2"/>
        <v>SP - Ibiúna</v>
      </c>
      <c r="U10" s="483">
        <f>VLOOKUP(T10,'Res Nº5.290'!A:B,2,FALSE)</f>
        <v>0.47638888888888892</v>
      </c>
      <c r="V10" s="485">
        <f>(Tabela7[[#This Row],[Horas]]-INT(Tabela7[[#This Row],[Horas]]))*24</f>
        <v>11.433333333333334</v>
      </c>
      <c r="W10">
        <v>2.7</v>
      </c>
      <c r="Y10" t="s">
        <v>705</v>
      </c>
      <c r="Z10" t="s">
        <v>505</v>
      </c>
      <c r="AA10" t="s">
        <v>738</v>
      </c>
      <c r="AB10" t="str">
        <f t="shared" si="3"/>
        <v>PR - Barra do Jacaré</v>
      </c>
      <c r="AC10" s="482">
        <f>VLOOKUP(AB10,'Res Nº5.290'!A:B,2,FALSE)</f>
        <v>0.47638888888888892</v>
      </c>
      <c r="AD10" s="485">
        <f>(Tabela6[[#This Row],[Horas]]-INT(Tabela6[[#This Row],[Horas]]))*24</f>
        <v>11.433333333333334</v>
      </c>
      <c r="AE10">
        <v>2.7</v>
      </c>
    </row>
    <row r="11" spans="1:31" x14ac:dyDescent="0.25">
      <c r="A11" t="s">
        <v>668</v>
      </c>
      <c r="B11" t="s">
        <v>495</v>
      </c>
      <c r="C11" t="s">
        <v>739</v>
      </c>
      <c r="D11" t="str">
        <f t="shared" si="0"/>
        <v>RS - Antônio Prado</v>
      </c>
      <c r="E11" s="482">
        <f>VLOOKUP(D11,'Res Nº5.290'!A:B,2,)</f>
        <v>0.47500000000000003</v>
      </c>
      <c r="F11" s="485">
        <f>(Tabela4[[#This Row],[Horas]]-INT(Tabela4[[#This Row],[Horas]]))*24</f>
        <v>11.4</v>
      </c>
      <c r="G11">
        <v>2.2999999999999998</v>
      </c>
      <c r="I11" t="s">
        <v>701</v>
      </c>
      <c r="J11" t="s">
        <v>500</v>
      </c>
      <c r="K11" t="s">
        <v>740</v>
      </c>
      <c r="L11" s="483" t="str">
        <f t="shared" si="1"/>
        <v>SP - Américo Brasiliense</v>
      </c>
      <c r="M11" s="478">
        <f>VLOOKUP(L11,'Res Nº5.290'!A:B,2,FALSE)</f>
        <v>0.47638888888888892</v>
      </c>
      <c r="N11" s="487">
        <f>(Tabela5[[#This Row],[Horas]]-INT(Tabela5[[#This Row],[Horas]]))*24</f>
        <v>11.433333333333334</v>
      </c>
      <c r="O11">
        <v>2.7</v>
      </c>
      <c r="Q11" t="s">
        <v>703</v>
      </c>
      <c r="R11" t="s">
        <v>500</v>
      </c>
      <c r="S11" t="s">
        <v>741</v>
      </c>
      <c r="T11" t="str">
        <f t="shared" si="2"/>
        <v>SP - Indaiatuba</v>
      </c>
      <c r="U11" s="483">
        <f>VLOOKUP(T11,'Res Nº5.290'!A:B,2,FALSE)</f>
        <v>0.47638888888888892</v>
      </c>
      <c r="V11" s="485">
        <f>(Tabela7[[#This Row],[Horas]]-INT(Tabela7[[#This Row],[Horas]]))*24</f>
        <v>11.433333333333334</v>
      </c>
      <c r="W11">
        <v>2.7</v>
      </c>
      <c r="Y11" t="s">
        <v>705</v>
      </c>
      <c r="Z11" t="s">
        <v>500</v>
      </c>
      <c r="AA11" t="s">
        <v>742</v>
      </c>
      <c r="AB11" t="str">
        <f t="shared" si="3"/>
        <v>SP - Bernardino de Campos</v>
      </c>
      <c r="AC11" s="482">
        <f>VLOOKUP(AB11,'Res Nº5.290'!A:B,2,FALSE)</f>
        <v>0.47638888888888892</v>
      </c>
      <c r="AD11" s="485">
        <f>(Tabela6[[#This Row],[Horas]]-INT(Tabela6[[#This Row],[Horas]]))*24</f>
        <v>11.433333333333334</v>
      </c>
      <c r="AE11">
        <v>2.7</v>
      </c>
    </row>
    <row r="12" spans="1:31" x14ac:dyDescent="0.25">
      <c r="A12" t="s">
        <v>668</v>
      </c>
      <c r="B12" t="s">
        <v>495</v>
      </c>
      <c r="C12" t="s">
        <v>743</v>
      </c>
      <c r="D12" t="str">
        <f t="shared" si="0"/>
        <v>RS - Aratiba</v>
      </c>
      <c r="E12" s="482">
        <f>VLOOKUP(D12,'Res Nº5.290'!A:B,2,)</f>
        <v>0.47569444444444442</v>
      </c>
      <c r="F12" s="485">
        <f>(Tabela4[[#This Row],[Horas]]-INT(Tabela4[[#This Row],[Horas]]))*24</f>
        <v>11.416666666666666</v>
      </c>
      <c r="G12">
        <v>2.2999999999999998</v>
      </c>
      <c r="I12" t="s">
        <v>701</v>
      </c>
      <c r="J12" t="s">
        <v>500</v>
      </c>
      <c r="K12" t="s">
        <v>744</v>
      </c>
      <c r="L12" s="483" t="str">
        <f t="shared" si="1"/>
        <v>SP - Amparo</v>
      </c>
      <c r="M12" s="478">
        <f>VLOOKUP(L12,'Res Nº5.290'!A:B,2,FALSE)</f>
        <v>0.47638888888888892</v>
      </c>
      <c r="N12" s="487">
        <f>(Tabela5[[#This Row],[Horas]]-INT(Tabela5[[#This Row],[Horas]]))*24</f>
        <v>11.433333333333334</v>
      </c>
      <c r="O12">
        <v>2.7</v>
      </c>
      <c r="Q12" t="s">
        <v>703</v>
      </c>
      <c r="R12" t="s">
        <v>500</v>
      </c>
      <c r="S12" t="s">
        <v>745</v>
      </c>
      <c r="T12" t="str">
        <f t="shared" si="2"/>
        <v>SP - Iperó</v>
      </c>
      <c r="U12" s="483">
        <f>VLOOKUP(T12,'Res Nº5.290'!A:B,2,FALSE)</f>
        <v>0.47638888888888892</v>
      </c>
      <c r="V12" s="485">
        <f>(Tabela7[[#This Row],[Horas]]-INT(Tabela7[[#This Row],[Horas]]))*24</f>
        <v>11.433333333333334</v>
      </c>
      <c r="W12">
        <v>2.7</v>
      </c>
      <c r="Y12" t="s">
        <v>705</v>
      </c>
      <c r="Z12" t="s">
        <v>500</v>
      </c>
      <c r="AA12" t="s">
        <v>746</v>
      </c>
      <c r="AB12" t="str">
        <f t="shared" si="3"/>
        <v>SP - Canitar</v>
      </c>
      <c r="AC12" s="482">
        <f>VLOOKUP(AB12,'Res Nº5.290'!A:B,2,FALSE)</f>
        <v>0.47638888888888892</v>
      </c>
      <c r="AD12" s="485">
        <f>(Tabela6[[#This Row],[Horas]]-INT(Tabela6[[#This Row],[Horas]]))*24</f>
        <v>11.433333333333334</v>
      </c>
      <c r="AE12">
        <v>2.7</v>
      </c>
    </row>
    <row r="13" spans="1:31" x14ac:dyDescent="0.25">
      <c r="A13" t="s">
        <v>668</v>
      </c>
      <c r="B13" t="s">
        <v>495</v>
      </c>
      <c r="C13" t="s">
        <v>747</v>
      </c>
      <c r="D13" t="str">
        <f t="shared" si="0"/>
        <v>RS - Arvorezinha</v>
      </c>
      <c r="E13" s="482">
        <f>VLOOKUP(D13,'Res Nº5.290'!A:B,2,)</f>
        <v>0.47500000000000003</v>
      </c>
      <c r="F13" s="485">
        <f>(Tabela4[[#This Row],[Horas]]-INT(Tabela4[[#This Row],[Horas]]))*24</f>
        <v>11.4</v>
      </c>
      <c r="G13">
        <v>2.2999999999999998</v>
      </c>
      <c r="I13" t="s">
        <v>701</v>
      </c>
      <c r="J13" t="s">
        <v>500</v>
      </c>
      <c r="K13" t="s">
        <v>748</v>
      </c>
      <c r="L13" s="483" t="str">
        <f t="shared" si="1"/>
        <v>SP - Analândia</v>
      </c>
      <c r="M13" s="478">
        <f>VLOOKUP(L13,'Res Nº5.290'!A:B,2,FALSE)</f>
        <v>0.47638888888888892</v>
      </c>
      <c r="N13" s="487">
        <f>(Tabela5[[#This Row],[Horas]]-INT(Tabela5[[#This Row],[Horas]]))*24</f>
        <v>11.433333333333334</v>
      </c>
      <c r="O13">
        <v>2.7</v>
      </c>
      <c r="Q13" t="s">
        <v>703</v>
      </c>
      <c r="R13" t="s">
        <v>500</v>
      </c>
      <c r="S13" t="s">
        <v>749</v>
      </c>
      <c r="T13" t="str">
        <f t="shared" si="2"/>
        <v>SP - Itu</v>
      </c>
      <c r="U13" s="483">
        <f>VLOOKUP(T13,'Res Nº5.290'!A:B,2,FALSE)</f>
        <v>0.47638888888888892</v>
      </c>
      <c r="V13" s="485">
        <f>(Tabela7[[#This Row],[Horas]]-INT(Tabela7[[#This Row],[Horas]]))*24</f>
        <v>11.433333333333334</v>
      </c>
      <c r="W13">
        <v>2.7</v>
      </c>
      <c r="Y13" t="s">
        <v>705</v>
      </c>
      <c r="Z13" t="s">
        <v>500</v>
      </c>
      <c r="AA13" t="s">
        <v>750</v>
      </c>
      <c r="AB13" t="str">
        <f t="shared" si="3"/>
        <v>SP - Cerqueira César</v>
      </c>
      <c r="AC13" s="482">
        <f>VLOOKUP(AB13,'Res Nº5.290'!A:B,2,FALSE)</f>
        <v>0.47638888888888892</v>
      </c>
      <c r="AD13" s="485">
        <f>(Tabela6[[#This Row],[Horas]]-INT(Tabela6[[#This Row],[Horas]]))*24</f>
        <v>11.433333333333334</v>
      </c>
      <c r="AE13">
        <v>2.7</v>
      </c>
    </row>
    <row r="14" spans="1:31" x14ac:dyDescent="0.25">
      <c r="A14" t="s">
        <v>668</v>
      </c>
      <c r="B14" t="s">
        <v>495</v>
      </c>
      <c r="C14" t="s">
        <v>751</v>
      </c>
      <c r="D14" t="str">
        <f t="shared" si="0"/>
        <v>RS - Augusto Pestana</v>
      </c>
      <c r="E14" s="482">
        <f>VLOOKUP(D14,'Res Nº5.290'!A:B,2,)</f>
        <v>0.47500000000000003</v>
      </c>
      <c r="F14" s="485">
        <f>(Tabela4[[#This Row],[Horas]]-INT(Tabela4[[#This Row],[Horas]]))*24</f>
        <v>11.4</v>
      </c>
      <c r="G14">
        <v>2.2999999999999998</v>
      </c>
      <c r="I14" t="s">
        <v>701</v>
      </c>
      <c r="J14" t="s">
        <v>500</v>
      </c>
      <c r="K14" t="s">
        <v>752</v>
      </c>
      <c r="L14" s="483" t="str">
        <f t="shared" si="1"/>
        <v>SP - Araçatuba</v>
      </c>
      <c r="M14" s="478">
        <f>VLOOKUP(L14,'Res Nº5.290'!A:B,2,FALSE)</f>
        <v>0.47638888888888892</v>
      </c>
      <c r="N14" s="487">
        <f>(Tabela5[[#This Row],[Horas]]-INT(Tabela5[[#This Row],[Horas]]))*24</f>
        <v>11.433333333333334</v>
      </c>
      <c r="O14">
        <v>2.7</v>
      </c>
      <c r="Q14" t="s">
        <v>703</v>
      </c>
      <c r="R14" t="s">
        <v>500</v>
      </c>
      <c r="S14" t="s">
        <v>753</v>
      </c>
      <c r="T14" t="str">
        <f t="shared" si="2"/>
        <v>SP - Itupeva</v>
      </c>
      <c r="U14" s="483">
        <f>VLOOKUP(T14,'Res Nº5.290'!A:B,2,FALSE)</f>
        <v>0.47638888888888892</v>
      </c>
      <c r="V14" s="485">
        <f>(Tabela7[[#This Row],[Horas]]-INT(Tabela7[[#This Row],[Horas]]))*24</f>
        <v>11.433333333333334</v>
      </c>
      <c r="W14">
        <v>2.7</v>
      </c>
      <c r="Y14" t="s">
        <v>705</v>
      </c>
      <c r="Z14" t="s">
        <v>500</v>
      </c>
      <c r="AA14" t="s">
        <v>754</v>
      </c>
      <c r="AB14" t="str">
        <f t="shared" si="3"/>
        <v>SP - Chavantes</v>
      </c>
      <c r="AC14" s="482">
        <f>VLOOKUP(AB14,'Res Nº5.290'!A:B,2,FALSE)</f>
        <v>0.47638888888888892</v>
      </c>
      <c r="AD14" s="485">
        <f>(Tabela6[[#This Row],[Horas]]-INT(Tabela6[[#This Row],[Horas]]))*24</f>
        <v>11.433333333333334</v>
      </c>
      <c r="AE14">
        <v>2.7</v>
      </c>
    </row>
    <row r="15" spans="1:31" x14ac:dyDescent="0.25">
      <c r="A15" t="s">
        <v>668</v>
      </c>
      <c r="B15" t="s">
        <v>495</v>
      </c>
      <c r="C15" t="s">
        <v>755</v>
      </c>
      <c r="D15" t="str">
        <f t="shared" si="0"/>
        <v>RS - Áurea</v>
      </c>
      <c r="E15" s="482">
        <f>VLOOKUP(D15,'Res Nº5.290'!A:B,2,)</f>
        <v>0.47500000000000003</v>
      </c>
      <c r="F15" s="485">
        <f>(Tabela4[[#This Row],[Horas]]-INT(Tabela4[[#This Row],[Horas]]))*24</f>
        <v>11.4</v>
      </c>
      <c r="G15">
        <v>2.2999999999999998</v>
      </c>
      <c r="I15" t="s">
        <v>701</v>
      </c>
      <c r="J15" t="s">
        <v>500</v>
      </c>
      <c r="K15" t="s">
        <v>756</v>
      </c>
      <c r="L15" s="483" t="str">
        <f t="shared" si="1"/>
        <v>SP - Aramina</v>
      </c>
      <c r="M15" s="478">
        <f>VLOOKUP(L15,'Res Nº5.290'!A:B,2,FALSE)</f>
        <v>0.4770833333333333</v>
      </c>
      <c r="N15" s="487">
        <f>(Tabela5[[#This Row],[Horas]]-INT(Tabela5[[#This Row],[Horas]]))*24</f>
        <v>11.45</v>
      </c>
      <c r="O15">
        <v>2.7</v>
      </c>
      <c r="Q15" t="s">
        <v>703</v>
      </c>
      <c r="R15" t="s">
        <v>500</v>
      </c>
      <c r="S15" t="s">
        <v>757</v>
      </c>
      <c r="T15" t="str">
        <f t="shared" si="2"/>
        <v>SP - Jundiaí</v>
      </c>
      <c r="U15" s="483">
        <f>VLOOKUP(T15,'Res Nº5.290'!A:B,2,FALSE)</f>
        <v>0.47638888888888892</v>
      </c>
      <c r="V15" s="485">
        <f>(Tabela7[[#This Row],[Horas]]-INT(Tabela7[[#This Row],[Horas]]))*24</f>
        <v>11.433333333333334</v>
      </c>
      <c r="W15">
        <v>2.7</v>
      </c>
      <c r="Y15" t="s">
        <v>705</v>
      </c>
      <c r="Z15" t="s">
        <v>500</v>
      </c>
      <c r="AA15" t="s">
        <v>758</v>
      </c>
      <c r="AB15" t="str">
        <f t="shared" si="3"/>
        <v>SP - Espírito Santo do Turvo</v>
      </c>
      <c r="AC15" s="482">
        <f>VLOOKUP(AB15,'Res Nº5.290'!A:B,2,FALSE)</f>
        <v>0.47638888888888892</v>
      </c>
      <c r="AD15" s="485">
        <f>(Tabela6[[#This Row],[Horas]]-INT(Tabela6[[#This Row],[Horas]]))*24</f>
        <v>11.433333333333334</v>
      </c>
      <c r="AE15">
        <v>2.7</v>
      </c>
    </row>
    <row r="16" spans="1:31" x14ac:dyDescent="0.25">
      <c r="A16" t="s">
        <v>668</v>
      </c>
      <c r="B16" t="s">
        <v>495</v>
      </c>
      <c r="C16" t="s">
        <v>759</v>
      </c>
      <c r="D16" t="str">
        <f t="shared" si="0"/>
        <v>RS - Barão</v>
      </c>
      <c r="E16" s="482">
        <f>VLOOKUP(D16,'Res Nº5.290'!A:B,2,)</f>
        <v>0.47500000000000003</v>
      </c>
      <c r="F16" s="485">
        <f>(Tabela4[[#This Row],[Horas]]-INT(Tabela4[[#This Row],[Horas]]))*24</f>
        <v>11.4</v>
      </c>
      <c r="G16">
        <v>2.2999999999999998</v>
      </c>
      <c r="I16" t="s">
        <v>701</v>
      </c>
      <c r="J16" t="s">
        <v>500</v>
      </c>
      <c r="K16" t="s">
        <v>760</v>
      </c>
      <c r="L16" s="483" t="str">
        <f t="shared" si="1"/>
        <v>SP - Araraquara</v>
      </c>
      <c r="M16" s="478">
        <f>VLOOKUP(L16,'Res Nº5.290'!A:B,2,FALSE)</f>
        <v>0.47638888888888892</v>
      </c>
      <c r="N16" s="487">
        <f>(Tabela5[[#This Row],[Horas]]-INT(Tabela5[[#This Row],[Horas]]))*24</f>
        <v>11.433333333333334</v>
      </c>
      <c r="O16">
        <v>2.7</v>
      </c>
      <c r="Q16" t="s">
        <v>703</v>
      </c>
      <c r="R16" t="s">
        <v>500</v>
      </c>
      <c r="S16" t="s">
        <v>761</v>
      </c>
      <c r="T16" t="str">
        <f t="shared" si="2"/>
        <v>SP - Louveira</v>
      </c>
      <c r="U16" s="483">
        <f>VLOOKUP(T16,'Res Nº5.290'!A:B,2,FALSE)</f>
        <v>0.47638888888888892</v>
      </c>
      <c r="V16" s="485">
        <f>(Tabela7[[#This Row],[Horas]]-INT(Tabela7[[#This Row],[Horas]]))*24</f>
        <v>11.433333333333334</v>
      </c>
      <c r="W16">
        <v>2.7</v>
      </c>
      <c r="Y16" t="s">
        <v>705</v>
      </c>
      <c r="Z16" t="s">
        <v>500</v>
      </c>
      <c r="AA16" t="s">
        <v>762</v>
      </c>
      <c r="AB16" t="str">
        <f t="shared" si="3"/>
        <v>SP - Iaras</v>
      </c>
      <c r="AC16" s="482">
        <f>VLOOKUP(AB16,'Res Nº5.290'!A:B,2,FALSE)</f>
        <v>0.47638888888888892</v>
      </c>
      <c r="AD16" s="485">
        <f>(Tabela6[[#This Row],[Horas]]-INT(Tabela6[[#This Row],[Horas]]))*24</f>
        <v>11.433333333333334</v>
      </c>
      <c r="AE16">
        <v>2.7</v>
      </c>
    </row>
    <row r="17" spans="1:31" x14ac:dyDescent="0.25">
      <c r="A17" t="s">
        <v>668</v>
      </c>
      <c r="B17" t="s">
        <v>495</v>
      </c>
      <c r="C17" t="s">
        <v>763</v>
      </c>
      <c r="D17" t="str">
        <f t="shared" si="0"/>
        <v>RS - Barão de Cotegipe</v>
      </c>
      <c r="E17" s="482">
        <f>VLOOKUP(D17,'Res Nº5.290'!A:B,2,)</f>
        <v>0.47500000000000003</v>
      </c>
      <c r="F17" s="485">
        <f>(Tabela4[[#This Row],[Horas]]-INT(Tabela4[[#This Row],[Horas]]))*24</f>
        <v>11.4</v>
      </c>
      <c r="G17">
        <v>2.2999999999999998</v>
      </c>
      <c r="I17" t="s">
        <v>701</v>
      </c>
      <c r="J17" t="s">
        <v>500</v>
      </c>
      <c r="K17" t="s">
        <v>764</v>
      </c>
      <c r="L17" s="483" t="str">
        <f t="shared" si="1"/>
        <v>SP - Arealva</v>
      </c>
      <c r="M17" s="478">
        <f>VLOOKUP(L17,'Res Nº5.290'!A:B,2,FALSE)</f>
        <v>0.47638888888888892</v>
      </c>
      <c r="N17" s="487">
        <f>(Tabela5[[#This Row],[Horas]]-INT(Tabela5[[#This Row],[Horas]]))*24</f>
        <v>11.433333333333334</v>
      </c>
      <c r="O17">
        <v>2.7</v>
      </c>
      <c r="Q17" t="s">
        <v>703</v>
      </c>
      <c r="R17" t="s">
        <v>500</v>
      </c>
      <c r="S17" t="s">
        <v>765</v>
      </c>
      <c r="T17" t="str">
        <f t="shared" si="2"/>
        <v>SP - Mairinque</v>
      </c>
      <c r="U17" s="483">
        <f>VLOOKUP(T17,'Res Nº5.290'!A:B,2,FALSE)</f>
        <v>0.47638888888888892</v>
      </c>
      <c r="V17" s="485">
        <f>(Tabela7[[#This Row],[Horas]]-INT(Tabela7[[#This Row],[Horas]]))*24</f>
        <v>11.433333333333334</v>
      </c>
      <c r="W17">
        <v>2.7</v>
      </c>
      <c r="Y17" t="s">
        <v>705</v>
      </c>
      <c r="Z17" t="s">
        <v>500</v>
      </c>
      <c r="AA17" t="s">
        <v>766</v>
      </c>
      <c r="AB17" t="str">
        <f t="shared" si="3"/>
        <v>SP - Ipaussu</v>
      </c>
      <c r="AC17" s="482">
        <f>VLOOKUP(AB17,'Res Nº5.290'!A:B,2,FALSE)</f>
        <v>0.47638888888888892</v>
      </c>
      <c r="AD17" s="485">
        <f>(Tabela6[[#This Row],[Horas]]-INT(Tabela6[[#This Row],[Horas]]))*24</f>
        <v>11.433333333333334</v>
      </c>
      <c r="AE17">
        <v>2.7</v>
      </c>
    </row>
    <row r="18" spans="1:31" x14ac:dyDescent="0.25">
      <c r="A18" t="s">
        <v>668</v>
      </c>
      <c r="B18" t="s">
        <v>495</v>
      </c>
      <c r="C18" t="s">
        <v>767</v>
      </c>
      <c r="D18" t="str">
        <f t="shared" si="0"/>
        <v>RS - Barra do Guarita</v>
      </c>
      <c r="E18" s="482">
        <f>VLOOKUP(D18,'Res Nº5.290'!A:B,2,)</f>
        <v>0.47569444444444442</v>
      </c>
      <c r="F18" s="485">
        <f>(Tabela4[[#This Row],[Horas]]-INT(Tabela4[[#This Row],[Horas]]))*24</f>
        <v>11.416666666666666</v>
      </c>
      <c r="G18">
        <v>2.2999999999999998</v>
      </c>
      <c r="I18" t="s">
        <v>701</v>
      </c>
      <c r="J18" t="s">
        <v>500</v>
      </c>
      <c r="K18" t="s">
        <v>768</v>
      </c>
      <c r="L18" s="483" t="str">
        <f t="shared" si="1"/>
        <v>SP - Areiópolis</v>
      </c>
      <c r="M18" s="478">
        <f>VLOOKUP(L18,'Res Nº5.290'!A:B,2,FALSE)</f>
        <v>0.47638888888888892</v>
      </c>
      <c r="N18" s="487">
        <f>(Tabela5[[#This Row],[Horas]]-INT(Tabela5[[#This Row],[Horas]]))*24</f>
        <v>11.433333333333334</v>
      </c>
      <c r="O18">
        <v>2.7</v>
      </c>
      <c r="Q18" t="s">
        <v>703</v>
      </c>
      <c r="R18" t="s">
        <v>500</v>
      </c>
      <c r="S18" t="s">
        <v>769</v>
      </c>
      <c r="T18" t="str">
        <f t="shared" si="2"/>
        <v>SP - Porto Feliz</v>
      </c>
      <c r="U18" s="483">
        <f>VLOOKUP(T18,'Res Nº5.290'!A:B,2,FALSE)</f>
        <v>0.47638888888888892</v>
      </c>
      <c r="V18" s="485">
        <f>(Tabela7[[#This Row],[Horas]]-INT(Tabela7[[#This Row],[Horas]]))*24</f>
        <v>11.433333333333334</v>
      </c>
      <c r="W18">
        <v>2.7</v>
      </c>
      <c r="Y18" t="s">
        <v>705</v>
      </c>
      <c r="Z18" t="s">
        <v>500</v>
      </c>
      <c r="AA18" t="s">
        <v>770</v>
      </c>
      <c r="AB18" t="str">
        <f t="shared" si="3"/>
        <v>SP - Itaí</v>
      </c>
      <c r="AC18" s="482">
        <f>VLOOKUP(AB18,'Res Nº5.290'!A:B,2,FALSE)</f>
        <v>0.47638888888888892</v>
      </c>
      <c r="AD18" s="485">
        <f>(Tabela6[[#This Row],[Horas]]-INT(Tabela6[[#This Row],[Horas]]))*24</f>
        <v>11.433333333333334</v>
      </c>
      <c r="AE18">
        <v>2.7</v>
      </c>
    </row>
    <row r="19" spans="1:31" x14ac:dyDescent="0.25">
      <c r="A19" t="s">
        <v>668</v>
      </c>
      <c r="B19" t="s">
        <v>495</v>
      </c>
      <c r="C19" t="s">
        <v>771</v>
      </c>
      <c r="D19" t="str">
        <f t="shared" si="0"/>
        <v>RS - Barra do Rio Azul</v>
      </c>
      <c r="E19" s="482">
        <f>VLOOKUP(D19,'Res Nº5.290'!A:B,2,)</f>
        <v>0.47500000000000003</v>
      </c>
      <c r="F19" s="485">
        <f>(Tabela4[[#This Row],[Horas]]-INT(Tabela4[[#This Row],[Horas]]))*24</f>
        <v>11.4</v>
      </c>
      <c r="G19">
        <v>2.2999999999999998</v>
      </c>
      <c r="I19" t="s">
        <v>701</v>
      </c>
      <c r="J19" t="s">
        <v>500</v>
      </c>
      <c r="K19" t="s">
        <v>772</v>
      </c>
      <c r="L19" s="483" t="str">
        <f t="shared" si="1"/>
        <v>SP - Ariranha</v>
      </c>
      <c r="M19" s="478">
        <f>VLOOKUP(L19,'Res Nº5.290'!A:B,2,FALSE)</f>
        <v>0.47638888888888892</v>
      </c>
      <c r="N19" s="487">
        <f>(Tabela5[[#This Row],[Horas]]-INT(Tabela5[[#This Row],[Horas]]))*24</f>
        <v>11.433333333333334</v>
      </c>
      <c r="O19">
        <v>2.7</v>
      </c>
      <c r="Q19" t="s">
        <v>703</v>
      </c>
      <c r="R19" t="s">
        <v>500</v>
      </c>
      <c r="S19" t="s">
        <v>773</v>
      </c>
      <c r="T19" t="str">
        <f t="shared" si="2"/>
        <v>SP - Praia Grande</v>
      </c>
      <c r="U19" s="483">
        <f>VLOOKUP(T19,'Res Nº5.290'!A:B,2,FALSE)</f>
        <v>0.47638888888888892</v>
      </c>
      <c r="V19" s="485">
        <f>(Tabela7[[#This Row],[Horas]]-INT(Tabela7[[#This Row],[Horas]]))*24</f>
        <v>11.433333333333334</v>
      </c>
      <c r="W19">
        <v>2.7</v>
      </c>
      <c r="Y19" t="s">
        <v>705</v>
      </c>
      <c r="Z19" t="s">
        <v>505</v>
      </c>
      <c r="AA19" t="s">
        <v>774</v>
      </c>
      <c r="AB19" t="str">
        <f t="shared" si="3"/>
        <v>PR - Jacarezinho</v>
      </c>
      <c r="AC19" s="482">
        <f>VLOOKUP(AB19,'Res Nº5.290'!A:B,2,FALSE)</f>
        <v>0.47638888888888892</v>
      </c>
      <c r="AD19" s="485">
        <f>(Tabela6[[#This Row],[Horas]]-INT(Tabela6[[#This Row],[Horas]]))*24</f>
        <v>11.433333333333334</v>
      </c>
      <c r="AE19">
        <v>2.7</v>
      </c>
    </row>
    <row r="20" spans="1:31" x14ac:dyDescent="0.25">
      <c r="A20" t="s">
        <v>668</v>
      </c>
      <c r="B20" t="s">
        <v>495</v>
      </c>
      <c r="C20" t="s">
        <v>775</v>
      </c>
      <c r="D20" t="str">
        <f t="shared" si="0"/>
        <v>RS - Barra Funda</v>
      </c>
      <c r="E20" s="482">
        <f>VLOOKUP(D20,'Res Nº5.290'!A:B,2,)</f>
        <v>0.47500000000000003</v>
      </c>
      <c r="F20" s="485">
        <f>(Tabela4[[#This Row],[Horas]]-INT(Tabela4[[#This Row],[Horas]]))*24</f>
        <v>11.4</v>
      </c>
      <c r="G20">
        <v>2.2999999999999998</v>
      </c>
      <c r="I20" t="s">
        <v>701</v>
      </c>
      <c r="J20" t="s">
        <v>500</v>
      </c>
      <c r="K20" t="s">
        <v>776</v>
      </c>
      <c r="L20" s="483" t="str">
        <f t="shared" si="1"/>
        <v>SP - Avaí</v>
      </c>
      <c r="M20" s="478">
        <f>VLOOKUP(L20,'Res Nº5.290'!A:B,2,FALSE)</f>
        <v>0.47638888888888892</v>
      </c>
      <c r="N20" s="487">
        <f>(Tabela5[[#This Row],[Horas]]-INT(Tabela5[[#This Row],[Horas]]))*24</f>
        <v>11.433333333333334</v>
      </c>
      <c r="O20">
        <v>2.7</v>
      </c>
      <c r="Q20" t="s">
        <v>703</v>
      </c>
      <c r="R20" t="s">
        <v>500</v>
      </c>
      <c r="S20" t="s">
        <v>777</v>
      </c>
      <c r="T20" t="str">
        <f t="shared" si="2"/>
        <v>SP - Salto</v>
      </c>
      <c r="U20" s="483">
        <f>VLOOKUP(T20,'Res Nº5.290'!A:B,2,FALSE)</f>
        <v>0.47638888888888892</v>
      </c>
      <c r="V20" s="485">
        <f>(Tabela7[[#This Row],[Horas]]-INT(Tabela7[[#This Row],[Horas]]))*24</f>
        <v>11.433333333333334</v>
      </c>
      <c r="W20">
        <v>2.7</v>
      </c>
      <c r="Y20" t="s">
        <v>705</v>
      </c>
      <c r="Z20" t="s">
        <v>500</v>
      </c>
      <c r="AA20" t="s">
        <v>778</v>
      </c>
      <c r="AB20" t="str">
        <f t="shared" si="3"/>
        <v>SP - Manduri</v>
      </c>
      <c r="AC20" s="482">
        <f>VLOOKUP(AB20,'Res Nº5.290'!A:B,2,FALSE)</f>
        <v>0.47638888888888892</v>
      </c>
      <c r="AD20" s="485">
        <f>(Tabela6[[#This Row],[Horas]]-INT(Tabela6[[#This Row],[Horas]]))*24</f>
        <v>11.433333333333334</v>
      </c>
      <c r="AE20">
        <v>2.7</v>
      </c>
    </row>
    <row r="21" spans="1:31" x14ac:dyDescent="0.25">
      <c r="A21" t="s">
        <v>668</v>
      </c>
      <c r="B21" t="s">
        <v>495</v>
      </c>
      <c r="C21" t="s">
        <v>779</v>
      </c>
      <c r="D21" t="str">
        <f t="shared" si="0"/>
        <v>RS - Barracão</v>
      </c>
      <c r="E21" s="482">
        <f>VLOOKUP(D21,'Res Nº5.290'!A:B,2,)</f>
        <v>0.47500000000000003</v>
      </c>
      <c r="F21" s="485">
        <f>(Tabela4[[#This Row],[Horas]]-INT(Tabela4[[#This Row],[Horas]]))*24</f>
        <v>11.4</v>
      </c>
      <c r="G21">
        <v>2.2999999999999998</v>
      </c>
      <c r="I21" t="s">
        <v>701</v>
      </c>
      <c r="J21" t="s">
        <v>500</v>
      </c>
      <c r="K21" t="s">
        <v>780</v>
      </c>
      <c r="L21" s="483" t="str">
        <f t="shared" si="1"/>
        <v>SP - Avanhandava</v>
      </c>
      <c r="M21" s="478">
        <f>VLOOKUP(L21,'Res Nº5.290'!A:B,2,FALSE)</f>
        <v>0.47638888888888892</v>
      </c>
      <c r="N21" s="487">
        <f>(Tabela5[[#This Row],[Horas]]-INT(Tabela5[[#This Row],[Horas]]))*24</f>
        <v>11.433333333333334</v>
      </c>
      <c r="O21">
        <v>2.7</v>
      </c>
      <c r="Q21" t="s">
        <v>703</v>
      </c>
      <c r="R21" t="s">
        <v>500</v>
      </c>
      <c r="S21" t="s">
        <v>781</v>
      </c>
      <c r="T21" t="str">
        <f t="shared" si="2"/>
        <v>SP - Salto de Pirapora</v>
      </c>
      <c r="U21" s="483">
        <f>VLOOKUP(T21,'Res Nº5.290'!A:B,2,FALSE)</f>
        <v>0.47638888888888892</v>
      </c>
      <c r="V21" s="485">
        <f>(Tabela7[[#This Row],[Horas]]-INT(Tabela7[[#This Row],[Horas]]))*24</f>
        <v>11.433333333333334</v>
      </c>
      <c r="W21">
        <v>2.7</v>
      </c>
      <c r="Y21" t="s">
        <v>705</v>
      </c>
      <c r="Z21" t="s">
        <v>500</v>
      </c>
      <c r="AA21" t="s">
        <v>782</v>
      </c>
      <c r="AB21" t="str">
        <f t="shared" si="3"/>
        <v>SP - Óleo</v>
      </c>
      <c r="AC21" s="482">
        <f>VLOOKUP(AB21,'Res Nº5.290'!A:B,2,FALSE)</f>
        <v>0.47638888888888892</v>
      </c>
      <c r="AD21" s="485">
        <f>(Tabela6[[#This Row],[Horas]]-INT(Tabela6[[#This Row],[Horas]]))*24</f>
        <v>11.433333333333334</v>
      </c>
      <c r="AE21">
        <v>2.7</v>
      </c>
    </row>
    <row r="22" spans="1:31" x14ac:dyDescent="0.25">
      <c r="A22" t="s">
        <v>668</v>
      </c>
      <c r="B22" t="s">
        <v>495</v>
      </c>
      <c r="C22" t="s">
        <v>783</v>
      </c>
      <c r="D22" t="str">
        <f t="shared" si="0"/>
        <v>RS - Barros Cassal</v>
      </c>
      <c r="E22" s="482">
        <f>VLOOKUP(D22,'Res Nº5.290'!A:B,2,)</f>
        <v>0.47500000000000003</v>
      </c>
      <c r="F22" s="485">
        <f>(Tabela4[[#This Row],[Horas]]-INT(Tabela4[[#This Row],[Horas]]))*24</f>
        <v>11.4</v>
      </c>
      <c r="G22">
        <v>2.2999999999999998</v>
      </c>
      <c r="I22" t="s">
        <v>701</v>
      </c>
      <c r="J22" t="s">
        <v>500</v>
      </c>
      <c r="K22" t="s">
        <v>784</v>
      </c>
      <c r="L22" s="483" t="str">
        <f t="shared" si="1"/>
        <v>SP - Bady Bassitt</v>
      </c>
      <c r="M22" s="478">
        <f>VLOOKUP(L22,'Res Nº5.290'!A:B,2,FALSE)</f>
        <v>0.47638888888888892</v>
      </c>
      <c r="N22" s="487">
        <f>(Tabela5[[#This Row],[Horas]]-INT(Tabela5[[#This Row],[Horas]]))*24</f>
        <v>11.433333333333334</v>
      </c>
      <c r="O22">
        <v>2.7</v>
      </c>
      <c r="Q22" t="s">
        <v>703</v>
      </c>
      <c r="R22" t="s">
        <v>500</v>
      </c>
      <c r="S22" t="s">
        <v>785</v>
      </c>
      <c r="T22" t="str">
        <f t="shared" si="2"/>
        <v>SP - Santos</v>
      </c>
      <c r="U22" s="483">
        <f>VLOOKUP(T22,'Res Nº5.290'!A:B,2,FALSE)</f>
        <v>0.47638888888888892</v>
      </c>
      <c r="V22" s="485">
        <f>(Tabela7[[#This Row],[Horas]]-INT(Tabela7[[#This Row],[Horas]]))*24</f>
        <v>11.433333333333334</v>
      </c>
      <c r="W22">
        <v>2.7</v>
      </c>
      <c r="Y22" t="s">
        <v>705</v>
      </c>
      <c r="Z22" t="s">
        <v>500</v>
      </c>
      <c r="AA22" t="s">
        <v>786</v>
      </c>
      <c r="AB22" t="str">
        <f t="shared" si="3"/>
        <v>SP - Ourinhos</v>
      </c>
      <c r="AC22" s="482">
        <f>VLOOKUP(AB22,'Res Nº5.290'!A:B,2,FALSE)</f>
        <v>0.47638888888888892</v>
      </c>
      <c r="AD22" s="485">
        <f>(Tabela6[[#This Row],[Horas]]-INT(Tabela6[[#This Row],[Horas]]))*24</f>
        <v>11.433333333333334</v>
      </c>
      <c r="AE22">
        <v>2.7</v>
      </c>
    </row>
    <row r="23" spans="1:31" x14ac:dyDescent="0.25">
      <c r="A23" t="s">
        <v>668</v>
      </c>
      <c r="B23" t="s">
        <v>495</v>
      </c>
      <c r="C23" t="s">
        <v>787</v>
      </c>
      <c r="D23" t="str">
        <f t="shared" si="0"/>
        <v>RS - Benjamin Constant do Sul</v>
      </c>
      <c r="E23" s="482">
        <f>VLOOKUP(D23,'Res Nº5.290'!A:B,2,)</f>
        <v>0.47500000000000003</v>
      </c>
      <c r="F23" s="485">
        <f>(Tabela4[[#This Row],[Horas]]-INT(Tabela4[[#This Row],[Horas]]))*24</f>
        <v>11.4</v>
      </c>
      <c r="G23">
        <v>2.2999999999999998</v>
      </c>
      <c r="I23" t="s">
        <v>701</v>
      </c>
      <c r="J23" t="s">
        <v>500</v>
      </c>
      <c r="K23" t="s">
        <v>788</v>
      </c>
      <c r="L23" s="483" t="str">
        <f t="shared" si="1"/>
        <v>SP - Balbinos</v>
      </c>
      <c r="M23" s="478">
        <f>VLOOKUP(L23,'Res Nº5.290'!A:B,2,FALSE)</f>
        <v>0.47638888888888892</v>
      </c>
      <c r="N23" s="487">
        <f>(Tabela5[[#This Row],[Horas]]-INT(Tabela5[[#This Row],[Horas]]))*24</f>
        <v>11.433333333333334</v>
      </c>
      <c r="O23">
        <v>2.7</v>
      </c>
      <c r="Q23" t="s">
        <v>703</v>
      </c>
      <c r="R23" t="s">
        <v>500</v>
      </c>
      <c r="S23" t="s">
        <v>789</v>
      </c>
      <c r="T23" t="str">
        <f t="shared" si="2"/>
        <v>SP - São Roque</v>
      </c>
      <c r="U23" s="483">
        <f>VLOOKUP(T23,'Res Nº5.290'!A:B,2,FALSE)</f>
        <v>0.47638888888888892</v>
      </c>
      <c r="V23" s="485">
        <f>(Tabela7[[#This Row],[Horas]]-INT(Tabela7[[#This Row],[Horas]]))*24</f>
        <v>11.433333333333334</v>
      </c>
      <c r="W23">
        <v>2.7</v>
      </c>
      <c r="Y23" t="s">
        <v>705</v>
      </c>
      <c r="Z23" t="s">
        <v>500</v>
      </c>
      <c r="AA23" t="s">
        <v>790</v>
      </c>
      <c r="AB23" t="str">
        <f t="shared" si="3"/>
        <v>SP - Paranapanema</v>
      </c>
      <c r="AC23" s="482">
        <f>VLOOKUP(AB23,'Res Nº5.290'!A:B,2,FALSE)</f>
        <v>0.47638888888888892</v>
      </c>
      <c r="AD23" s="485">
        <f>(Tabela6[[#This Row],[Horas]]-INT(Tabela6[[#This Row],[Horas]]))*24</f>
        <v>11.433333333333334</v>
      </c>
      <c r="AE23">
        <v>2.7</v>
      </c>
    </row>
    <row r="24" spans="1:31" x14ac:dyDescent="0.25">
      <c r="A24" t="s">
        <v>668</v>
      </c>
      <c r="B24" t="s">
        <v>495</v>
      </c>
      <c r="C24" t="s">
        <v>791</v>
      </c>
      <c r="D24" t="str">
        <f t="shared" si="0"/>
        <v>RS - Bento Gonçalves</v>
      </c>
      <c r="E24" s="482">
        <f>VLOOKUP(D24,'Res Nº5.290'!A:B,2,)</f>
        <v>0.47500000000000003</v>
      </c>
      <c r="F24" s="485">
        <f>(Tabela4[[#This Row],[Horas]]-INT(Tabela4[[#This Row],[Horas]]))*24</f>
        <v>11.4</v>
      </c>
      <c r="G24">
        <v>2.2999999999999998</v>
      </c>
      <c r="I24" t="s">
        <v>701</v>
      </c>
      <c r="J24" t="s">
        <v>500</v>
      </c>
      <c r="K24" t="s">
        <v>792</v>
      </c>
      <c r="L24" s="483" t="str">
        <f t="shared" si="1"/>
        <v>SP - Bálsamo</v>
      </c>
      <c r="M24" s="478">
        <f>VLOOKUP(L24,'Res Nº5.290'!A:B,2,FALSE)</f>
        <v>0.4770833333333333</v>
      </c>
      <c r="N24" s="487">
        <f>(Tabela5[[#This Row],[Horas]]-INT(Tabela5[[#This Row],[Horas]]))*24</f>
        <v>11.45</v>
      </c>
      <c r="O24">
        <v>2.7</v>
      </c>
      <c r="Q24" t="s">
        <v>703</v>
      </c>
      <c r="R24" t="s">
        <v>500</v>
      </c>
      <c r="S24" t="s">
        <v>793</v>
      </c>
      <c r="T24" t="str">
        <f t="shared" si="2"/>
        <v>SP - São Vicente</v>
      </c>
      <c r="U24" s="483">
        <f>VLOOKUP(T24,'Res Nº5.290'!A:B,2,FALSE)</f>
        <v>0.47638888888888892</v>
      </c>
      <c r="V24" s="485">
        <f>(Tabela7[[#This Row],[Horas]]-INT(Tabela7[[#This Row],[Horas]]))*24</f>
        <v>11.433333333333334</v>
      </c>
      <c r="W24">
        <v>2.7</v>
      </c>
      <c r="Y24" t="s">
        <v>705</v>
      </c>
      <c r="Z24" t="s">
        <v>500</v>
      </c>
      <c r="AA24" t="s">
        <v>794</v>
      </c>
      <c r="AB24" t="str">
        <f t="shared" si="3"/>
        <v>SP - Piraju</v>
      </c>
      <c r="AC24" s="482">
        <f>VLOOKUP(AB24,'Res Nº5.290'!A:B,2,FALSE)</f>
        <v>0.47638888888888892</v>
      </c>
      <c r="AD24" s="485">
        <f>(Tabela6[[#This Row],[Horas]]-INT(Tabela6[[#This Row],[Horas]]))*24</f>
        <v>11.433333333333334</v>
      </c>
      <c r="AE24">
        <v>2.7</v>
      </c>
    </row>
    <row r="25" spans="1:31" x14ac:dyDescent="0.25">
      <c r="A25" t="s">
        <v>668</v>
      </c>
      <c r="B25" t="s">
        <v>495</v>
      </c>
      <c r="C25" t="s">
        <v>795</v>
      </c>
      <c r="D25" t="str">
        <f t="shared" si="0"/>
        <v>RS - Boa Vista das Missões</v>
      </c>
      <c r="E25" s="482">
        <f>VLOOKUP(D25,'Res Nº5.290'!A:B,2,)</f>
        <v>0.47500000000000003</v>
      </c>
      <c r="F25" s="485">
        <f>(Tabela4[[#This Row],[Horas]]-INT(Tabela4[[#This Row],[Horas]]))*24</f>
        <v>11.4</v>
      </c>
      <c r="G25">
        <v>2.2999999999999998</v>
      </c>
      <c r="I25" t="s">
        <v>701</v>
      </c>
      <c r="J25" t="s">
        <v>500</v>
      </c>
      <c r="K25" t="s">
        <v>796</v>
      </c>
      <c r="L25" s="483" t="str">
        <f t="shared" si="1"/>
        <v>SP - Barbosa</v>
      </c>
      <c r="M25" s="478">
        <f>VLOOKUP(L25,'Res Nº5.290'!A:B,2,FALSE)</f>
        <v>0.47638888888888892</v>
      </c>
      <c r="N25" s="487">
        <f>(Tabela5[[#This Row],[Horas]]-INT(Tabela5[[#This Row],[Horas]]))*24</f>
        <v>11.433333333333334</v>
      </c>
      <c r="O25">
        <v>2.7</v>
      </c>
      <c r="Q25" t="s">
        <v>703</v>
      </c>
      <c r="R25" t="s">
        <v>500</v>
      </c>
      <c r="S25" t="s">
        <v>797</v>
      </c>
      <c r="T25" t="str">
        <f t="shared" si="2"/>
        <v>SP - Sorocaba</v>
      </c>
      <c r="U25" s="483">
        <f>VLOOKUP(T25,'Res Nº5.290'!A:B,2,FALSE)</f>
        <v>0.47638888888888892</v>
      </c>
      <c r="V25" s="485">
        <f>(Tabela7[[#This Row],[Horas]]-INT(Tabela7[[#This Row],[Horas]]))*24</f>
        <v>11.433333333333334</v>
      </c>
      <c r="W25">
        <v>2.7</v>
      </c>
      <c r="Y25" t="s">
        <v>705</v>
      </c>
      <c r="Z25" t="s">
        <v>505</v>
      </c>
      <c r="AA25" t="s">
        <v>798</v>
      </c>
      <c r="AB25" t="str">
        <f t="shared" si="3"/>
        <v>PR - Ribeirão Claro</v>
      </c>
      <c r="AC25" s="482">
        <f>VLOOKUP(AB25,'Res Nº5.290'!A:B,2,FALSE)</f>
        <v>0.47638888888888892</v>
      </c>
      <c r="AD25" s="485">
        <f>(Tabela6[[#This Row],[Horas]]-INT(Tabela6[[#This Row],[Horas]]))*24</f>
        <v>11.433333333333334</v>
      </c>
      <c r="AE25">
        <v>2.7</v>
      </c>
    </row>
    <row r="26" spans="1:31" x14ac:dyDescent="0.25">
      <c r="A26" t="s">
        <v>668</v>
      </c>
      <c r="B26" t="s">
        <v>495</v>
      </c>
      <c r="C26" t="s">
        <v>799</v>
      </c>
      <c r="D26" t="str">
        <f t="shared" si="0"/>
        <v>RS - Boa Vista do Buricá</v>
      </c>
      <c r="E26" s="482">
        <f>VLOOKUP(D26,'Res Nº5.290'!A:B,2,)</f>
        <v>0.47500000000000003</v>
      </c>
      <c r="F26" s="485">
        <f>(Tabela4[[#This Row],[Horas]]-INT(Tabela4[[#This Row],[Horas]]))*24</f>
        <v>11.4</v>
      </c>
      <c r="G26">
        <v>2.2999999999999998</v>
      </c>
      <c r="I26" t="s">
        <v>701</v>
      </c>
      <c r="J26" t="s">
        <v>500</v>
      </c>
      <c r="K26" t="s">
        <v>800</v>
      </c>
      <c r="L26" s="483" t="str">
        <f t="shared" si="1"/>
        <v>SP - Bariri</v>
      </c>
      <c r="M26" s="478">
        <f>VLOOKUP(L26,'Res Nº5.290'!A:B,2,FALSE)</f>
        <v>0.47638888888888892</v>
      </c>
      <c r="N26" s="487">
        <f>(Tabela5[[#This Row],[Horas]]-INT(Tabela5[[#This Row],[Horas]]))*24</f>
        <v>11.433333333333334</v>
      </c>
      <c r="O26">
        <v>2.7</v>
      </c>
      <c r="Q26" t="s">
        <v>703</v>
      </c>
      <c r="R26" t="s">
        <v>500</v>
      </c>
      <c r="S26" t="s">
        <v>801</v>
      </c>
      <c r="T26" t="str">
        <f t="shared" si="2"/>
        <v>SP - Várzea Paulista</v>
      </c>
      <c r="U26" s="483">
        <f>VLOOKUP(T26,'Res Nº5.290'!A:B,2,FALSE)</f>
        <v>0.47638888888888892</v>
      </c>
      <c r="V26" s="485">
        <f>(Tabela7[[#This Row],[Horas]]-INT(Tabela7[[#This Row],[Horas]]))*24</f>
        <v>11.433333333333334</v>
      </c>
      <c r="W26">
        <v>2.7</v>
      </c>
      <c r="Y26" t="s">
        <v>705</v>
      </c>
      <c r="Z26" t="s">
        <v>500</v>
      </c>
      <c r="AA26" t="s">
        <v>802</v>
      </c>
      <c r="AB26" t="str">
        <f t="shared" si="3"/>
        <v>SP - Santa Cruz do Rio Pardo</v>
      </c>
      <c r="AC26" s="482">
        <f>VLOOKUP(AB26,'Res Nº5.290'!A:B,2,FALSE)</f>
        <v>0.47638888888888892</v>
      </c>
      <c r="AD26" s="485">
        <f>(Tabela6[[#This Row],[Horas]]-INT(Tabela6[[#This Row],[Horas]]))*24</f>
        <v>11.433333333333334</v>
      </c>
      <c r="AE26">
        <v>2.7</v>
      </c>
    </row>
    <row r="27" spans="1:31" x14ac:dyDescent="0.25">
      <c r="A27" t="s">
        <v>668</v>
      </c>
      <c r="B27" t="s">
        <v>495</v>
      </c>
      <c r="C27" t="s">
        <v>803</v>
      </c>
      <c r="D27" t="str">
        <f t="shared" si="0"/>
        <v>RS - Boa Vista do Cadeado</v>
      </c>
      <c r="E27" s="482">
        <f>VLOOKUP(D27,'Res Nº5.290'!A:B,2,)</f>
        <v>0.47500000000000003</v>
      </c>
      <c r="F27" s="485">
        <f>(Tabela4[[#This Row],[Horas]]-INT(Tabela4[[#This Row],[Horas]]))*24</f>
        <v>11.4</v>
      </c>
      <c r="G27">
        <v>2.2999999999999998</v>
      </c>
      <c r="I27" t="s">
        <v>701</v>
      </c>
      <c r="J27" t="s">
        <v>500</v>
      </c>
      <c r="K27" t="s">
        <v>804</v>
      </c>
      <c r="L27" s="483" t="str">
        <f t="shared" si="1"/>
        <v>SP - Barra Bonita</v>
      </c>
      <c r="M27" s="478">
        <f>VLOOKUP(L27,'Res Nº5.290'!A:B,2,FALSE)</f>
        <v>0.47638888888888892</v>
      </c>
      <c r="N27" s="487">
        <f>(Tabela5[[#This Row],[Horas]]-INT(Tabela5[[#This Row],[Horas]]))*24</f>
        <v>11.433333333333334</v>
      </c>
      <c r="O27">
        <v>2.7</v>
      </c>
      <c r="Q27" t="s">
        <v>703</v>
      </c>
      <c r="R27" t="s">
        <v>500</v>
      </c>
      <c r="S27" t="s">
        <v>805</v>
      </c>
      <c r="T27" t="str">
        <f t="shared" si="2"/>
        <v>SP - Vinhedo</v>
      </c>
      <c r="U27" s="483">
        <f>VLOOKUP(T27,'Res Nº5.290'!A:B,2,FALSE)</f>
        <v>0.47638888888888892</v>
      </c>
      <c r="V27" s="485">
        <f>(Tabela7[[#This Row],[Horas]]-INT(Tabela7[[#This Row],[Horas]]))*24</f>
        <v>11.433333333333334</v>
      </c>
      <c r="W27">
        <v>2.7</v>
      </c>
      <c r="Y27" t="s">
        <v>705</v>
      </c>
      <c r="Z27" t="s">
        <v>500</v>
      </c>
      <c r="AA27" t="s">
        <v>806</v>
      </c>
      <c r="AB27" t="str">
        <f t="shared" si="3"/>
        <v>SP - São Pedro do Turvo</v>
      </c>
      <c r="AC27" s="482">
        <f>VLOOKUP(AB27,'Res Nº5.290'!A:B,2,FALSE)</f>
        <v>0.47638888888888892</v>
      </c>
      <c r="AD27" s="485">
        <f>(Tabela6[[#This Row],[Horas]]-INT(Tabela6[[#This Row],[Horas]]))*24</f>
        <v>11.433333333333334</v>
      </c>
      <c r="AE27">
        <v>2.7</v>
      </c>
    </row>
    <row r="28" spans="1:31" x14ac:dyDescent="0.25">
      <c r="A28" t="s">
        <v>668</v>
      </c>
      <c r="B28" t="s">
        <v>495</v>
      </c>
      <c r="C28" t="s">
        <v>807</v>
      </c>
      <c r="D28" t="str">
        <f t="shared" si="0"/>
        <v>RS - Boa Vista do Sul</v>
      </c>
      <c r="E28" s="482">
        <f>VLOOKUP(D28,'Res Nº5.290'!A:B,2,)</f>
        <v>0.47500000000000003</v>
      </c>
      <c r="F28" s="485">
        <f>(Tabela4[[#This Row],[Horas]]-INT(Tabela4[[#This Row],[Horas]]))*24</f>
        <v>11.4</v>
      </c>
      <c r="G28">
        <v>2.2999999999999998</v>
      </c>
      <c r="I28" t="s">
        <v>701</v>
      </c>
      <c r="J28" t="s">
        <v>500</v>
      </c>
      <c r="K28" t="s">
        <v>808</v>
      </c>
      <c r="L28" s="483" t="str">
        <f t="shared" si="1"/>
        <v>SP - Barretos</v>
      </c>
      <c r="M28" s="478">
        <f>VLOOKUP(L28,'Res Nº5.290'!A:B,2,FALSE)</f>
        <v>0.4770833333333333</v>
      </c>
      <c r="N28" s="487">
        <f>(Tabela5[[#This Row],[Horas]]-INT(Tabela5[[#This Row],[Horas]]))*24</f>
        <v>11.45</v>
      </c>
      <c r="O28">
        <v>2.7</v>
      </c>
      <c r="Q28" t="s">
        <v>703</v>
      </c>
      <c r="R28" t="s">
        <v>500</v>
      </c>
      <c r="S28" t="s">
        <v>809</v>
      </c>
      <c r="T28" t="str">
        <f t="shared" si="2"/>
        <v>SP - Votorantim</v>
      </c>
      <c r="U28" s="483">
        <f>VLOOKUP(T28,'Res Nº5.290'!A:B,2,FALSE)</f>
        <v>0.47638888888888892</v>
      </c>
      <c r="V28" s="485">
        <f>(Tabela7[[#This Row],[Horas]]-INT(Tabela7[[#This Row],[Horas]]))*24</f>
        <v>11.433333333333334</v>
      </c>
      <c r="W28">
        <v>2.7</v>
      </c>
      <c r="Y28" t="s">
        <v>705</v>
      </c>
      <c r="Z28" t="s">
        <v>500</v>
      </c>
      <c r="AA28" t="s">
        <v>810</v>
      </c>
      <c r="AB28" t="str">
        <f t="shared" si="3"/>
        <v>SP - Sarutaiá</v>
      </c>
      <c r="AC28" s="482">
        <f>VLOOKUP(AB28,'Res Nº5.290'!A:B,2,FALSE)</f>
        <v>0.47638888888888892</v>
      </c>
      <c r="AD28" s="485">
        <f>(Tabela6[[#This Row],[Horas]]-INT(Tabela6[[#This Row],[Horas]]))*24</f>
        <v>11.433333333333334</v>
      </c>
      <c r="AE28">
        <v>2.7</v>
      </c>
    </row>
    <row r="29" spans="1:31" x14ac:dyDescent="0.25">
      <c r="A29" t="s">
        <v>668</v>
      </c>
      <c r="B29" t="s">
        <v>495</v>
      </c>
      <c r="C29" t="s">
        <v>811</v>
      </c>
      <c r="D29" t="str">
        <f t="shared" si="0"/>
        <v>RS - Bom Jesus</v>
      </c>
      <c r="E29" s="482">
        <f>VLOOKUP(D29,'Res Nº5.290'!A:B,2,)</f>
        <v>0.47500000000000003</v>
      </c>
      <c r="F29" s="485">
        <f>(Tabela4[[#This Row],[Horas]]-INT(Tabela4[[#This Row],[Horas]]))*24</f>
        <v>11.4</v>
      </c>
      <c r="G29">
        <v>2.2999999999999998</v>
      </c>
      <c r="I29" t="s">
        <v>701</v>
      </c>
      <c r="J29" t="s">
        <v>500</v>
      </c>
      <c r="K29" t="s">
        <v>812</v>
      </c>
      <c r="L29" s="483" t="str">
        <f t="shared" si="1"/>
        <v>SP - Barrinha</v>
      </c>
      <c r="M29" s="478">
        <f>VLOOKUP(L29,'Res Nº5.290'!A:B,2,FALSE)</f>
        <v>0.47638888888888892</v>
      </c>
      <c r="N29" s="487">
        <f>(Tabela5[[#This Row],[Horas]]-INT(Tabela5[[#This Row],[Horas]]))*24</f>
        <v>11.433333333333334</v>
      </c>
      <c r="O29">
        <v>2.7</v>
      </c>
      <c r="Y29" t="s">
        <v>705</v>
      </c>
      <c r="Z29" t="s">
        <v>500</v>
      </c>
      <c r="AA29" t="s">
        <v>813</v>
      </c>
      <c r="AB29" t="str">
        <f t="shared" si="3"/>
        <v>SP - Taguaí</v>
      </c>
      <c r="AC29" s="482">
        <f>VLOOKUP(AB29,'Res Nº5.290'!A:B,2,FALSE)</f>
        <v>0.47638888888888892</v>
      </c>
      <c r="AD29" s="485">
        <f>(Tabela6[[#This Row],[Horas]]-INT(Tabela6[[#This Row],[Horas]]))*24</f>
        <v>11.433333333333334</v>
      </c>
      <c r="AE29">
        <v>2.7</v>
      </c>
    </row>
    <row r="30" spans="1:31" x14ac:dyDescent="0.25">
      <c r="A30" t="s">
        <v>668</v>
      </c>
      <c r="B30" t="s">
        <v>495</v>
      </c>
      <c r="C30" t="s">
        <v>814</v>
      </c>
      <c r="D30" t="str">
        <f t="shared" si="0"/>
        <v>RS - Bom Progresso</v>
      </c>
      <c r="E30" s="482">
        <f>VLOOKUP(D30,'Res Nº5.290'!A:B,2,)</f>
        <v>0.47500000000000003</v>
      </c>
      <c r="F30" s="485">
        <f>(Tabela4[[#This Row],[Horas]]-INT(Tabela4[[#This Row],[Horas]]))*24</f>
        <v>11.4</v>
      </c>
      <c r="G30">
        <v>2.2999999999999998</v>
      </c>
      <c r="I30" t="s">
        <v>701</v>
      </c>
      <c r="J30" t="s">
        <v>500</v>
      </c>
      <c r="K30" t="s">
        <v>815</v>
      </c>
      <c r="L30" s="483" t="str">
        <f t="shared" si="1"/>
        <v>SP - Batatais</v>
      </c>
      <c r="M30" s="478">
        <f>VLOOKUP(L30,'Res Nº5.290'!A:B,2,FALSE)</f>
        <v>0.47638888888888892</v>
      </c>
      <c r="N30" s="487">
        <f>(Tabela5[[#This Row],[Horas]]-INT(Tabela5[[#This Row],[Horas]]))*24</f>
        <v>11.433333333333334</v>
      </c>
      <c r="O30">
        <v>2.7</v>
      </c>
      <c r="Y30" t="s">
        <v>705</v>
      </c>
      <c r="Z30" t="s">
        <v>500</v>
      </c>
      <c r="AA30" t="s">
        <v>816</v>
      </c>
      <c r="AB30" t="str">
        <f t="shared" si="3"/>
        <v>SP - Taquarituba</v>
      </c>
      <c r="AC30" s="482">
        <f>VLOOKUP(AB30,'Res Nº5.290'!A:B,2,FALSE)</f>
        <v>0.47638888888888892</v>
      </c>
      <c r="AD30" s="485">
        <f>(Tabela6[[#This Row],[Horas]]-INT(Tabela6[[#This Row],[Horas]]))*24</f>
        <v>11.433333333333334</v>
      </c>
      <c r="AE30">
        <v>2.7</v>
      </c>
    </row>
    <row r="31" spans="1:31" x14ac:dyDescent="0.25">
      <c r="A31" t="s">
        <v>668</v>
      </c>
      <c r="B31" t="s">
        <v>495</v>
      </c>
      <c r="C31" t="s">
        <v>817</v>
      </c>
      <c r="D31" t="str">
        <f t="shared" si="0"/>
        <v>RS - Bozano</v>
      </c>
      <c r="E31" s="482">
        <f>VLOOKUP(D31,'Res Nº5.290'!A:B,2,)</f>
        <v>0.47500000000000003</v>
      </c>
      <c r="F31" s="485">
        <f>(Tabela4[[#This Row],[Horas]]-INT(Tabela4[[#This Row],[Horas]]))*24</f>
        <v>11.4</v>
      </c>
      <c r="G31">
        <v>2.2999999999999998</v>
      </c>
      <c r="I31" t="s">
        <v>701</v>
      </c>
      <c r="J31" t="s">
        <v>500</v>
      </c>
      <c r="K31" t="s">
        <v>818</v>
      </c>
      <c r="L31" s="483" t="str">
        <f t="shared" si="1"/>
        <v>SP - Bauru</v>
      </c>
      <c r="M31" s="478">
        <f>VLOOKUP(L31,'Res Nº5.290'!A:B,2,FALSE)</f>
        <v>0.47638888888888892</v>
      </c>
      <c r="N31" s="487">
        <f>(Tabela5[[#This Row],[Horas]]-INT(Tabela5[[#This Row],[Horas]]))*24</f>
        <v>11.433333333333334</v>
      </c>
      <c r="O31">
        <v>2.7</v>
      </c>
      <c r="Y31" t="s">
        <v>705</v>
      </c>
      <c r="Z31" t="s">
        <v>500</v>
      </c>
      <c r="AA31" t="s">
        <v>819</v>
      </c>
      <c r="AB31" t="str">
        <f t="shared" si="3"/>
        <v>SP - Tejupá</v>
      </c>
      <c r="AC31" s="482">
        <f>VLOOKUP(AB31,'Res Nº5.290'!A:B,2,FALSE)</f>
        <v>0.47638888888888892</v>
      </c>
      <c r="AD31" s="485">
        <f>(Tabela6[[#This Row],[Horas]]-INT(Tabela6[[#This Row],[Horas]]))*24</f>
        <v>11.433333333333334</v>
      </c>
      <c r="AE31">
        <v>2.7</v>
      </c>
    </row>
    <row r="32" spans="1:31" x14ac:dyDescent="0.25">
      <c r="A32" t="s">
        <v>668</v>
      </c>
      <c r="B32" t="s">
        <v>495</v>
      </c>
      <c r="C32" t="s">
        <v>820</v>
      </c>
      <c r="D32" t="str">
        <f t="shared" si="0"/>
        <v>RS - Braga</v>
      </c>
      <c r="E32" s="482">
        <f>VLOOKUP(D32,'Res Nº5.290'!A:B,2,)</f>
        <v>0.47500000000000003</v>
      </c>
      <c r="F32" s="485">
        <f>(Tabela4[[#This Row],[Horas]]-INT(Tabela4[[#This Row],[Horas]]))*24</f>
        <v>11.4</v>
      </c>
      <c r="G32">
        <v>2.2999999999999998</v>
      </c>
      <c r="I32" t="s">
        <v>701</v>
      </c>
      <c r="J32" t="s">
        <v>500</v>
      </c>
      <c r="K32" t="s">
        <v>821</v>
      </c>
      <c r="L32" s="483" t="str">
        <f t="shared" si="1"/>
        <v>SP - Bebedouro</v>
      </c>
      <c r="M32" s="478">
        <f>VLOOKUP(L32,'Res Nº5.290'!A:B,2,FALSE)</f>
        <v>0.47638888888888892</v>
      </c>
      <c r="N32" s="487">
        <f>(Tabela5[[#This Row],[Horas]]-INT(Tabela5[[#This Row],[Horas]]))*24</f>
        <v>11.433333333333334</v>
      </c>
      <c r="O32">
        <v>2.7</v>
      </c>
      <c r="Y32" t="s">
        <v>705</v>
      </c>
      <c r="Z32" t="s">
        <v>500</v>
      </c>
      <c r="AA32" t="s">
        <v>822</v>
      </c>
      <c r="AB32" t="str">
        <f t="shared" si="3"/>
        <v>SP - Timburi</v>
      </c>
      <c r="AC32" s="482">
        <f>VLOOKUP(AB32,'Res Nº5.290'!A:B,2,FALSE)</f>
        <v>0.47638888888888892</v>
      </c>
      <c r="AD32" s="485">
        <f>(Tabela6[[#This Row],[Horas]]-INT(Tabela6[[#This Row],[Horas]]))*24</f>
        <v>11.433333333333334</v>
      </c>
      <c r="AE32">
        <v>2.7</v>
      </c>
    </row>
    <row r="33" spans="1:31" x14ac:dyDescent="0.25">
      <c r="A33" t="s">
        <v>668</v>
      </c>
      <c r="B33" t="s">
        <v>495</v>
      </c>
      <c r="C33" t="s">
        <v>823</v>
      </c>
      <c r="D33" t="str">
        <f t="shared" si="0"/>
        <v>RS - Cachoeirinha</v>
      </c>
      <c r="E33" s="482">
        <f>VLOOKUP(D33,'Res Nº5.290'!A:B,2,)</f>
        <v>0.47500000000000003</v>
      </c>
      <c r="F33" s="485">
        <f>(Tabela4[[#This Row],[Horas]]-INT(Tabela4[[#This Row],[Horas]]))*24</f>
        <v>11.4</v>
      </c>
      <c r="G33">
        <v>2.2999999999999998</v>
      </c>
      <c r="I33" t="s">
        <v>701</v>
      </c>
      <c r="J33" t="s">
        <v>500</v>
      </c>
      <c r="K33" t="s">
        <v>824</v>
      </c>
      <c r="L33" s="483" t="str">
        <f t="shared" si="1"/>
        <v>SP - Bento de Abreu</v>
      </c>
      <c r="M33" s="478">
        <f>VLOOKUP(L33,'Res Nº5.290'!A:B,2,FALSE)</f>
        <v>0.47638888888888892</v>
      </c>
      <c r="N33" s="487">
        <f>(Tabela5[[#This Row],[Horas]]-INT(Tabela5[[#This Row],[Horas]]))*24</f>
        <v>11.433333333333334</v>
      </c>
      <c r="O33">
        <v>2.7</v>
      </c>
      <c r="Y33" t="s">
        <v>705</v>
      </c>
      <c r="Z33" t="s">
        <v>500</v>
      </c>
      <c r="AA33" t="s">
        <v>825</v>
      </c>
      <c r="AB33" t="str">
        <f t="shared" si="3"/>
        <v>SP - Ubirajara</v>
      </c>
      <c r="AC33" s="482">
        <f>VLOOKUP(AB33,'Res Nº5.290'!A:B,2,FALSE)</f>
        <v>0.47638888888888892</v>
      </c>
      <c r="AD33" s="485">
        <f>(Tabela6[[#This Row],[Horas]]-INT(Tabela6[[#This Row],[Horas]]))*24</f>
        <v>11.433333333333334</v>
      </c>
      <c r="AE33">
        <v>2.7</v>
      </c>
    </row>
    <row r="34" spans="1:31" x14ac:dyDescent="0.25">
      <c r="A34" t="s">
        <v>668</v>
      </c>
      <c r="B34" t="s">
        <v>495</v>
      </c>
      <c r="C34" t="s">
        <v>826</v>
      </c>
      <c r="D34" t="str">
        <f t="shared" si="0"/>
        <v>RS - Cacique Doble</v>
      </c>
      <c r="E34" s="482">
        <f>VLOOKUP(D34,'Res Nº5.290'!A:B,2,)</f>
        <v>0.47500000000000003</v>
      </c>
      <c r="F34" s="485">
        <f>(Tabela4[[#This Row],[Horas]]-INT(Tabela4[[#This Row],[Horas]]))*24</f>
        <v>11.4</v>
      </c>
      <c r="G34">
        <v>2.2999999999999998</v>
      </c>
      <c r="I34" t="s">
        <v>701</v>
      </c>
      <c r="J34" t="s">
        <v>500</v>
      </c>
      <c r="K34" t="s">
        <v>827</v>
      </c>
      <c r="L34" s="483" t="str">
        <f t="shared" ref="L34:L65" si="4">CONCATENATE(J34," - ",K34)</f>
        <v>SP - Bilac</v>
      </c>
      <c r="M34" s="478">
        <f>VLOOKUP(L34,'Res Nº5.290'!A:B,2,FALSE)</f>
        <v>0.47638888888888892</v>
      </c>
      <c r="N34" s="487">
        <f>(Tabela5[[#This Row],[Horas]]-INT(Tabela5[[#This Row],[Horas]]))*24</f>
        <v>11.433333333333334</v>
      </c>
      <c r="O34">
        <v>2.7</v>
      </c>
      <c r="Y34" t="s">
        <v>705</v>
      </c>
      <c r="Z34" t="s">
        <v>510</v>
      </c>
      <c r="AA34" t="s">
        <v>828</v>
      </c>
      <c r="AB34" t="str">
        <f t="shared" si="3"/>
        <v>MG - Arceburgo</v>
      </c>
      <c r="AC34" s="482">
        <f>VLOOKUP(AB34,'Res Nº5.290'!A:B,2,FALSE)</f>
        <v>0.47638888888888892</v>
      </c>
      <c r="AD34" s="485">
        <f>(Tabela6[[#This Row],[Horas]]-INT(Tabela6[[#This Row],[Horas]]))*24</f>
        <v>11.433333333333334</v>
      </c>
      <c r="AE34">
        <v>2.7</v>
      </c>
    </row>
    <row r="35" spans="1:31" x14ac:dyDescent="0.25">
      <c r="A35" t="s">
        <v>668</v>
      </c>
      <c r="B35" t="s">
        <v>495</v>
      </c>
      <c r="C35" t="s">
        <v>829</v>
      </c>
      <c r="D35" t="str">
        <f t="shared" si="0"/>
        <v>RS - Caiçara</v>
      </c>
      <c r="E35" s="482">
        <f>VLOOKUP(D35,'Res Nº5.290'!A:B,2,)</f>
        <v>0.47569444444444442</v>
      </c>
      <c r="F35" s="485">
        <f>(Tabela4[[#This Row],[Horas]]-INT(Tabela4[[#This Row],[Horas]]))*24</f>
        <v>11.416666666666666</v>
      </c>
      <c r="G35">
        <v>2.2999999999999998</v>
      </c>
      <c r="I35" t="s">
        <v>701</v>
      </c>
      <c r="J35" t="s">
        <v>500</v>
      </c>
      <c r="K35" t="s">
        <v>830</v>
      </c>
      <c r="L35" s="483" t="str">
        <f t="shared" si="4"/>
        <v>SP - Birigui</v>
      </c>
      <c r="M35" s="478">
        <f>VLOOKUP(L35,'Res Nº5.290'!A:B,2,FALSE)</f>
        <v>0.47638888888888892</v>
      </c>
      <c r="N35" s="487">
        <f>(Tabela5[[#This Row],[Horas]]-INT(Tabela5[[#This Row],[Horas]]))*24</f>
        <v>11.433333333333334</v>
      </c>
      <c r="O35">
        <v>2.7</v>
      </c>
      <c r="Y35" t="s">
        <v>705</v>
      </c>
      <c r="Z35" t="s">
        <v>510</v>
      </c>
      <c r="AA35" t="s">
        <v>831</v>
      </c>
      <c r="AB35" t="str">
        <f t="shared" si="3"/>
        <v>MG - Itamogi</v>
      </c>
      <c r="AC35" s="482">
        <f>VLOOKUP(AB35,'Res Nº5.290'!A:B,2,FALSE)</f>
        <v>0.47638888888888892</v>
      </c>
      <c r="AD35" s="485">
        <f>(Tabela6[[#This Row],[Horas]]-INT(Tabela6[[#This Row],[Horas]]))*24</f>
        <v>11.433333333333334</v>
      </c>
      <c r="AE35">
        <v>2.7</v>
      </c>
    </row>
    <row r="36" spans="1:31" x14ac:dyDescent="0.25">
      <c r="A36" t="s">
        <v>668</v>
      </c>
      <c r="B36" t="s">
        <v>495</v>
      </c>
      <c r="C36" t="s">
        <v>832</v>
      </c>
      <c r="D36" t="str">
        <f t="shared" si="0"/>
        <v>RS - Camargo</v>
      </c>
      <c r="E36" s="482">
        <f>VLOOKUP(D36,'Res Nº5.290'!A:B,2,)</f>
        <v>0.47500000000000003</v>
      </c>
      <c r="F36" s="485">
        <f>(Tabela4[[#This Row],[Horas]]-INT(Tabela4[[#This Row],[Horas]]))*24</f>
        <v>11.4</v>
      </c>
      <c r="G36">
        <v>2.2999999999999998</v>
      </c>
      <c r="I36" t="s">
        <v>701</v>
      </c>
      <c r="J36" t="s">
        <v>500</v>
      </c>
      <c r="K36" t="s">
        <v>833</v>
      </c>
      <c r="L36" s="483" t="str">
        <f t="shared" si="4"/>
        <v>SP - Boa Esperança do Sul</v>
      </c>
      <c r="M36" s="478">
        <f>VLOOKUP(L36,'Res Nº5.290'!A:B,2,FALSE)</f>
        <v>0.47638888888888892</v>
      </c>
      <c r="N36" s="487">
        <f>(Tabela5[[#This Row],[Horas]]-INT(Tabela5[[#This Row],[Horas]]))*24</f>
        <v>11.433333333333334</v>
      </c>
      <c r="O36">
        <v>2.7</v>
      </c>
      <c r="Y36" t="s">
        <v>705</v>
      </c>
      <c r="Z36" t="s">
        <v>500</v>
      </c>
      <c r="AA36" t="s">
        <v>834</v>
      </c>
      <c r="AB36" t="str">
        <f t="shared" si="3"/>
        <v>SP - Mococa</v>
      </c>
      <c r="AC36" s="482">
        <f>VLOOKUP(AB36,'Res Nº5.290'!A:B,2,FALSE)</f>
        <v>0.47638888888888892</v>
      </c>
      <c r="AD36" s="485">
        <f>(Tabela6[[#This Row],[Horas]]-INT(Tabela6[[#This Row],[Horas]]))*24</f>
        <v>11.433333333333334</v>
      </c>
      <c r="AE36">
        <v>2.7</v>
      </c>
    </row>
    <row r="37" spans="1:31" x14ac:dyDescent="0.25">
      <c r="A37" t="s">
        <v>668</v>
      </c>
      <c r="B37" t="s">
        <v>495</v>
      </c>
      <c r="C37" t="s">
        <v>835</v>
      </c>
      <c r="D37" t="str">
        <f t="shared" si="0"/>
        <v>RS - Cambará do Sul</v>
      </c>
      <c r="E37" s="482">
        <f>VLOOKUP(D37,'Res Nº5.290'!A:B,2,)</f>
        <v>0.47500000000000003</v>
      </c>
      <c r="F37" s="485">
        <f>(Tabela4[[#This Row],[Horas]]-INT(Tabela4[[#This Row],[Horas]]))*24</f>
        <v>11.4</v>
      </c>
      <c r="G37">
        <v>2.2999999999999998</v>
      </c>
      <c r="I37" t="s">
        <v>701</v>
      </c>
      <c r="J37" t="s">
        <v>500</v>
      </c>
      <c r="K37" t="s">
        <v>836</v>
      </c>
      <c r="L37" s="483" t="str">
        <f t="shared" si="4"/>
        <v>SP - Bocaina</v>
      </c>
      <c r="M37" s="478">
        <f>VLOOKUP(L37,'Res Nº5.290'!A:B,2,FALSE)</f>
        <v>0.47638888888888892</v>
      </c>
      <c r="N37" s="487">
        <f>(Tabela5[[#This Row],[Horas]]-INT(Tabela5[[#This Row],[Horas]]))*24</f>
        <v>11.433333333333334</v>
      </c>
      <c r="O37">
        <v>2.7</v>
      </c>
      <c r="Y37" t="s">
        <v>705</v>
      </c>
      <c r="Z37" t="s">
        <v>510</v>
      </c>
      <c r="AA37" t="s">
        <v>837</v>
      </c>
      <c r="AB37" t="str">
        <f t="shared" si="3"/>
        <v>MG - Monte Santo de Minas</v>
      </c>
      <c r="AC37" s="482">
        <f>VLOOKUP(AB37,'Res Nº5.290'!A:B,2,FALSE)</f>
        <v>0.47638888888888892</v>
      </c>
      <c r="AD37" s="485">
        <f>(Tabela6[[#This Row],[Horas]]-INT(Tabela6[[#This Row],[Horas]]))*24</f>
        <v>11.433333333333334</v>
      </c>
      <c r="AE37">
        <v>2.7</v>
      </c>
    </row>
    <row r="38" spans="1:31" x14ac:dyDescent="0.25">
      <c r="A38" t="s">
        <v>668</v>
      </c>
      <c r="B38" t="s">
        <v>495</v>
      </c>
      <c r="C38" t="s">
        <v>838</v>
      </c>
      <c r="D38" t="str">
        <f t="shared" si="0"/>
        <v>RS - Campestre da Serra</v>
      </c>
      <c r="E38" s="482">
        <f>VLOOKUP(D38,'Res Nº5.290'!A:B,2,)</f>
        <v>0.47500000000000003</v>
      </c>
      <c r="F38" s="485">
        <f>(Tabela4[[#This Row],[Horas]]-INT(Tabela4[[#This Row],[Horas]]))*24</f>
        <v>11.4</v>
      </c>
      <c r="G38">
        <v>2.2999999999999998</v>
      </c>
      <c r="I38" t="s">
        <v>701</v>
      </c>
      <c r="J38" t="s">
        <v>500</v>
      </c>
      <c r="K38" t="s">
        <v>839</v>
      </c>
      <c r="L38" s="483" t="str">
        <f t="shared" si="4"/>
        <v>SP - Bofete</v>
      </c>
      <c r="M38" s="478">
        <f>VLOOKUP(L38,'Res Nº5.290'!A:B,2,FALSE)</f>
        <v>0.47638888888888892</v>
      </c>
      <c r="N38" s="487">
        <f>(Tabela5[[#This Row],[Horas]]-INT(Tabela5[[#This Row],[Horas]]))*24</f>
        <v>11.433333333333334</v>
      </c>
      <c r="O38">
        <v>2.7</v>
      </c>
      <c r="Y38" t="s">
        <v>705</v>
      </c>
      <c r="Z38" t="s">
        <v>500</v>
      </c>
      <c r="AA38" t="s">
        <v>840</v>
      </c>
      <c r="AB38" t="str">
        <f t="shared" si="3"/>
        <v>SP - Caconde</v>
      </c>
      <c r="AC38" s="482">
        <f>VLOOKUP(AB38,'Res Nº5.290'!A:B,2,FALSE)</f>
        <v>0.47638888888888892</v>
      </c>
      <c r="AD38" s="485">
        <f>(Tabela6[[#This Row],[Horas]]-INT(Tabela6[[#This Row],[Horas]]))*24</f>
        <v>11.433333333333334</v>
      </c>
      <c r="AE38">
        <v>2.7</v>
      </c>
    </row>
    <row r="39" spans="1:31" x14ac:dyDescent="0.25">
      <c r="A39" t="s">
        <v>668</v>
      </c>
      <c r="B39" t="s">
        <v>495</v>
      </c>
      <c r="C39" t="s">
        <v>841</v>
      </c>
      <c r="D39" t="str">
        <f t="shared" si="0"/>
        <v>RS - Campina das Missões</v>
      </c>
      <c r="E39" s="482">
        <f>VLOOKUP(D39,'Res Nº5.290'!A:B,2,)</f>
        <v>0.47500000000000003</v>
      </c>
      <c r="F39" s="485">
        <f>(Tabela4[[#This Row],[Horas]]-INT(Tabela4[[#This Row],[Horas]]))*24</f>
        <v>11.4</v>
      </c>
      <c r="G39">
        <v>2.2999999999999998</v>
      </c>
      <c r="I39" t="s">
        <v>701</v>
      </c>
      <c r="J39" t="s">
        <v>500</v>
      </c>
      <c r="K39" t="s">
        <v>842</v>
      </c>
      <c r="L39" s="483" t="str">
        <f t="shared" si="4"/>
        <v>SP - Boracéia</v>
      </c>
      <c r="M39" s="478">
        <f>VLOOKUP(L39,'Res Nº5.290'!A:B,2,FALSE)</f>
        <v>0.47638888888888892</v>
      </c>
      <c r="N39" s="487">
        <f>(Tabela5[[#This Row],[Horas]]-INT(Tabela5[[#This Row],[Horas]]))*24</f>
        <v>11.433333333333334</v>
      </c>
      <c r="O39">
        <v>2.7</v>
      </c>
      <c r="Y39" t="s">
        <v>705</v>
      </c>
      <c r="Z39" t="s">
        <v>500</v>
      </c>
      <c r="AA39" t="s">
        <v>843</v>
      </c>
      <c r="AB39" t="str">
        <f t="shared" si="3"/>
        <v>SP - Casa Branca</v>
      </c>
      <c r="AC39" s="482">
        <f>VLOOKUP(AB39,'Res Nº5.290'!A:B,2,FALSE)</f>
        <v>0.47638888888888892</v>
      </c>
      <c r="AD39" s="485">
        <f>(Tabela6[[#This Row],[Horas]]-INT(Tabela6[[#This Row],[Horas]]))*24</f>
        <v>11.433333333333334</v>
      </c>
      <c r="AE39">
        <v>2.7</v>
      </c>
    </row>
    <row r="40" spans="1:31" x14ac:dyDescent="0.25">
      <c r="A40" t="s">
        <v>668</v>
      </c>
      <c r="B40" t="s">
        <v>495</v>
      </c>
      <c r="C40" t="s">
        <v>844</v>
      </c>
      <c r="D40" t="str">
        <f t="shared" si="0"/>
        <v>RS - Campinas do Sul</v>
      </c>
      <c r="E40" s="482">
        <f>VLOOKUP(D40,'Res Nº5.290'!A:B,2,)</f>
        <v>0.47500000000000003</v>
      </c>
      <c r="F40" s="485">
        <f>(Tabela4[[#This Row],[Horas]]-INT(Tabela4[[#This Row],[Horas]]))*24</f>
        <v>11.4</v>
      </c>
      <c r="G40">
        <v>2.2999999999999998</v>
      </c>
      <c r="I40" t="s">
        <v>701</v>
      </c>
      <c r="J40" t="s">
        <v>500</v>
      </c>
      <c r="K40" t="s">
        <v>845</v>
      </c>
      <c r="L40" s="483" t="str">
        <f t="shared" si="4"/>
        <v>SP - Borebi</v>
      </c>
      <c r="M40" s="478">
        <f>VLOOKUP(L40,'Res Nº5.290'!A:B,2,FALSE)</f>
        <v>0.47638888888888892</v>
      </c>
      <c r="N40" s="487">
        <f>(Tabela5[[#This Row],[Horas]]-INT(Tabela5[[#This Row],[Horas]]))*24</f>
        <v>11.433333333333334</v>
      </c>
      <c r="O40">
        <v>2.7</v>
      </c>
      <c r="Y40" t="s">
        <v>705</v>
      </c>
      <c r="Z40" t="s">
        <v>500</v>
      </c>
      <c r="AA40" t="s">
        <v>846</v>
      </c>
      <c r="AB40" t="str">
        <f t="shared" si="3"/>
        <v>SP - Divinolândia</v>
      </c>
      <c r="AC40" s="482">
        <f>VLOOKUP(AB40,'Res Nº5.290'!A:B,2,FALSE)</f>
        <v>0.47638888888888892</v>
      </c>
      <c r="AD40" s="485">
        <f>(Tabela6[[#This Row],[Horas]]-INT(Tabela6[[#This Row],[Horas]]))*24</f>
        <v>11.433333333333334</v>
      </c>
      <c r="AE40">
        <v>2.7</v>
      </c>
    </row>
    <row r="41" spans="1:31" x14ac:dyDescent="0.25">
      <c r="A41" t="s">
        <v>668</v>
      </c>
      <c r="B41" t="s">
        <v>495</v>
      </c>
      <c r="C41" t="s">
        <v>847</v>
      </c>
      <c r="D41" t="str">
        <f t="shared" si="0"/>
        <v>RS - Campo Novo</v>
      </c>
      <c r="E41" s="482">
        <f>VLOOKUP(D41,'Res Nº5.290'!A:B,2,)</f>
        <v>0.47500000000000003</v>
      </c>
      <c r="F41" s="485">
        <f>(Tabela4[[#This Row],[Horas]]-INT(Tabela4[[#This Row],[Horas]]))*24</f>
        <v>11.4</v>
      </c>
      <c r="G41">
        <v>2.2999999999999998</v>
      </c>
      <c r="I41" t="s">
        <v>701</v>
      </c>
      <c r="J41" t="s">
        <v>500</v>
      </c>
      <c r="K41" t="s">
        <v>848</v>
      </c>
      <c r="L41" s="483" t="str">
        <f t="shared" si="4"/>
        <v>SP - Botucatu</v>
      </c>
      <c r="M41" s="478">
        <f>VLOOKUP(L41,'Res Nº5.290'!A:B,2,FALSE)</f>
        <v>0.47638888888888892</v>
      </c>
      <c r="N41" s="487">
        <f>(Tabela5[[#This Row],[Horas]]-INT(Tabela5[[#This Row],[Horas]]))*24</f>
        <v>11.433333333333334</v>
      </c>
      <c r="O41">
        <v>2.7</v>
      </c>
      <c r="Y41" t="s">
        <v>705</v>
      </c>
      <c r="Z41" t="s">
        <v>500</v>
      </c>
      <c r="AA41" t="s">
        <v>849</v>
      </c>
      <c r="AB41" t="str">
        <f t="shared" si="3"/>
        <v>SP - Itobi</v>
      </c>
      <c r="AC41" s="482">
        <f>VLOOKUP(AB41,'Res Nº5.290'!A:B,2,FALSE)</f>
        <v>0.47638888888888892</v>
      </c>
      <c r="AD41" s="485">
        <f>(Tabela6[[#This Row],[Horas]]-INT(Tabela6[[#This Row],[Horas]]))*24</f>
        <v>11.433333333333334</v>
      </c>
      <c r="AE41">
        <v>2.7</v>
      </c>
    </row>
    <row r="42" spans="1:31" x14ac:dyDescent="0.25">
      <c r="A42" t="s">
        <v>668</v>
      </c>
      <c r="B42" t="s">
        <v>495</v>
      </c>
      <c r="C42" t="s">
        <v>850</v>
      </c>
      <c r="D42" t="str">
        <f t="shared" si="0"/>
        <v>RS - Cândido Godói</v>
      </c>
      <c r="E42" s="482">
        <f>VLOOKUP(D42,'Res Nº5.290'!A:B,2,)</f>
        <v>0.47500000000000003</v>
      </c>
      <c r="F42" s="485">
        <f>(Tabela4[[#This Row],[Horas]]-INT(Tabela4[[#This Row],[Horas]]))*24</f>
        <v>11.4</v>
      </c>
      <c r="G42">
        <v>2.2999999999999998</v>
      </c>
      <c r="I42" t="s">
        <v>701</v>
      </c>
      <c r="J42" t="s">
        <v>500</v>
      </c>
      <c r="K42" t="s">
        <v>851</v>
      </c>
      <c r="L42" s="483" t="str">
        <f t="shared" si="4"/>
        <v>SP - Braúna</v>
      </c>
      <c r="M42" s="478">
        <f>VLOOKUP(L42,'Res Nº5.290'!A:B,2,FALSE)</f>
        <v>0.47638888888888892</v>
      </c>
      <c r="N42" s="487">
        <f>(Tabela5[[#This Row],[Horas]]-INT(Tabela5[[#This Row],[Horas]]))*24</f>
        <v>11.433333333333334</v>
      </c>
      <c r="O42">
        <v>2.7</v>
      </c>
      <c r="Y42" t="s">
        <v>705</v>
      </c>
      <c r="Z42" t="s">
        <v>500</v>
      </c>
      <c r="AA42" t="s">
        <v>852</v>
      </c>
      <c r="AB42" t="str">
        <f t="shared" si="3"/>
        <v>SP - São José do Rio Pardo</v>
      </c>
      <c r="AC42" s="482">
        <f>VLOOKUP(AB42,'Res Nº5.290'!A:B,2,FALSE)</f>
        <v>0.47638888888888892</v>
      </c>
      <c r="AD42" s="485">
        <f>(Tabela6[[#This Row],[Horas]]-INT(Tabela6[[#This Row],[Horas]]))*24</f>
        <v>11.433333333333334</v>
      </c>
      <c r="AE42">
        <v>2.7</v>
      </c>
    </row>
    <row r="43" spans="1:31" x14ac:dyDescent="0.25">
      <c r="A43" t="s">
        <v>668</v>
      </c>
      <c r="B43" t="s">
        <v>495</v>
      </c>
      <c r="C43" t="s">
        <v>853</v>
      </c>
      <c r="D43" t="str">
        <f t="shared" si="0"/>
        <v>RS - Canela</v>
      </c>
      <c r="E43" s="482">
        <f>VLOOKUP(D43,'Res Nº5.290'!A:B,2,)</f>
        <v>0.47500000000000003</v>
      </c>
      <c r="F43" s="485">
        <f>(Tabela4[[#This Row],[Horas]]-INT(Tabela4[[#This Row],[Horas]]))*24</f>
        <v>11.4</v>
      </c>
      <c r="G43">
        <v>2.2999999999999998</v>
      </c>
      <c r="I43" t="s">
        <v>701</v>
      </c>
      <c r="J43" t="s">
        <v>500</v>
      </c>
      <c r="K43" t="s">
        <v>854</v>
      </c>
      <c r="L43" s="483" t="str">
        <f t="shared" si="4"/>
        <v>SP - Brejo Alegre</v>
      </c>
      <c r="M43" s="478">
        <f>VLOOKUP(L43,'Res Nº5.290'!A:B,2,FALSE)</f>
        <v>0.47638888888888892</v>
      </c>
      <c r="N43" s="487">
        <f>(Tabela5[[#This Row],[Horas]]-INT(Tabela5[[#This Row],[Horas]]))*24</f>
        <v>11.433333333333334</v>
      </c>
      <c r="O43">
        <v>2.7</v>
      </c>
      <c r="Y43" t="s">
        <v>705</v>
      </c>
      <c r="Z43" t="s">
        <v>500</v>
      </c>
      <c r="AA43" t="s">
        <v>855</v>
      </c>
      <c r="AB43" t="str">
        <f t="shared" si="3"/>
        <v>SP - São Sebastião da Grama</v>
      </c>
      <c r="AC43" s="482">
        <f>VLOOKUP(AB43,'Res Nº5.290'!A:B,2,FALSE)</f>
        <v>0.47638888888888892</v>
      </c>
      <c r="AD43" s="485">
        <f>(Tabela6[[#This Row],[Horas]]-INT(Tabela6[[#This Row],[Horas]]))*24</f>
        <v>11.433333333333334</v>
      </c>
      <c r="AE43">
        <v>2.7</v>
      </c>
    </row>
    <row r="44" spans="1:31" x14ac:dyDescent="0.25">
      <c r="A44" t="s">
        <v>668</v>
      </c>
      <c r="B44" t="s">
        <v>495</v>
      </c>
      <c r="C44" t="s">
        <v>856</v>
      </c>
      <c r="D44" t="str">
        <f t="shared" si="0"/>
        <v>RS - Capão Bonito do Sul</v>
      </c>
      <c r="E44" s="482">
        <f>VLOOKUP(D44,'Res Nº5.290'!A:B,2,)</f>
        <v>0.47500000000000003</v>
      </c>
      <c r="F44" s="485">
        <f>(Tabela4[[#This Row],[Horas]]-INT(Tabela4[[#This Row],[Horas]]))*24</f>
        <v>11.4</v>
      </c>
      <c r="G44">
        <v>2.2999999999999998</v>
      </c>
      <c r="I44" t="s">
        <v>701</v>
      </c>
      <c r="J44" t="s">
        <v>500</v>
      </c>
      <c r="K44" t="s">
        <v>857</v>
      </c>
      <c r="L44" s="483" t="str">
        <f t="shared" si="4"/>
        <v>SP - Brodowski</v>
      </c>
      <c r="M44" s="478">
        <f>VLOOKUP(L44,'Res Nº5.290'!A:B,2,FALSE)</f>
        <v>0.47638888888888892</v>
      </c>
      <c r="N44" s="487">
        <f>(Tabela5[[#This Row],[Horas]]-INT(Tabela5[[#This Row],[Horas]]))*24</f>
        <v>11.433333333333334</v>
      </c>
      <c r="O44">
        <v>2.7</v>
      </c>
      <c r="Y44" t="s">
        <v>705</v>
      </c>
      <c r="Z44" t="s">
        <v>500</v>
      </c>
      <c r="AA44" t="s">
        <v>858</v>
      </c>
      <c r="AB44" t="str">
        <f t="shared" si="3"/>
        <v>SP - Tapiratiba</v>
      </c>
      <c r="AC44" s="482">
        <f>VLOOKUP(AB44,'Res Nº5.290'!A:B,2,FALSE)</f>
        <v>0.47638888888888892</v>
      </c>
      <c r="AD44" s="485">
        <f>(Tabela6[[#This Row],[Horas]]-INT(Tabela6[[#This Row],[Horas]]))*24</f>
        <v>11.433333333333334</v>
      </c>
      <c r="AE44">
        <v>2.7</v>
      </c>
    </row>
    <row r="45" spans="1:31" x14ac:dyDescent="0.25">
      <c r="A45" t="s">
        <v>668</v>
      </c>
      <c r="B45" t="s">
        <v>495</v>
      </c>
      <c r="C45" t="s">
        <v>859</v>
      </c>
      <c r="D45" t="str">
        <f t="shared" si="0"/>
        <v>RS - Carlos Barbosa</v>
      </c>
      <c r="E45" s="482">
        <f>VLOOKUP(D45,'Res Nº5.290'!A:B,2,)</f>
        <v>0.47500000000000003</v>
      </c>
      <c r="F45" s="485">
        <f>(Tabela4[[#This Row],[Horas]]-INT(Tabela4[[#This Row],[Horas]]))*24</f>
        <v>11.4</v>
      </c>
      <c r="G45">
        <v>2.2999999999999998</v>
      </c>
      <c r="I45" t="s">
        <v>701</v>
      </c>
      <c r="J45" t="s">
        <v>500</v>
      </c>
      <c r="K45" t="s">
        <v>860</v>
      </c>
      <c r="L45" s="483" t="str">
        <f t="shared" si="4"/>
        <v>SP - Brotas</v>
      </c>
      <c r="M45" s="478">
        <f>VLOOKUP(L45,'Res Nº5.290'!A:B,2,FALSE)</f>
        <v>0.47638888888888892</v>
      </c>
      <c r="N45" s="487">
        <f>(Tabela5[[#This Row],[Horas]]-INT(Tabela5[[#This Row],[Horas]]))*24</f>
        <v>11.433333333333334</v>
      </c>
      <c r="O45">
        <v>2.7</v>
      </c>
      <c r="Y45" t="s">
        <v>705</v>
      </c>
      <c r="Z45" t="s">
        <v>500</v>
      </c>
      <c r="AA45" t="s">
        <v>861</v>
      </c>
      <c r="AB45" t="str">
        <f t="shared" si="3"/>
        <v>SP - Jaguariúna</v>
      </c>
      <c r="AC45" s="482">
        <f>VLOOKUP(AB45,'Res Nº5.290'!A:B,2,FALSE)</f>
        <v>0.47638888888888892</v>
      </c>
      <c r="AD45" s="485">
        <f>(Tabela6[[#This Row],[Horas]]-INT(Tabela6[[#This Row],[Horas]]))*24</f>
        <v>11.433333333333334</v>
      </c>
      <c r="AE45">
        <v>2.7</v>
      </c>
    </row>
    <row r="46" spans="1:31" x14ac:dyDescent="0.25">
      <c r="A46" t="s">
        <v>668</v>
      </c>
      <c r="B46" t="s">
        <v>495</v>
      </c>
      <c r="C46" t="s">
        <v>862</v>
      </c>
      <c r="D46" t="str">
        <f t="shared" si="0"/>
        <v>RS - Carlos Gomes</v>
      </c>
      <c r="E46" s="482">
        <f>VLOOKUP(D46,'Res Nº5.290'!A:B,2,)</f>
        <v>0.47500000000000003</v>
      </c>
      <c r="F46" s="485">
        <f>(Tabela4[[#This Row],[Horas]]-INT(Tabela4[[#This Row],[Horas]]))*24</f>
        <v>11.4</v>
      </c>
      <c r="G46">
        <v>2.2999999999999998</v>
      </c>
      <c r="I46" t="s">
        <v>701</v>
      </c>
      <c r="J46" t="s">
        <v>500</v>
      </c>
      <c r="K46" t="s">
        <v>863</v>
      </c>
      <c r="L46" s="483" t="str">
        <f t="shared" si="4"/>
        <v>SP - Buritizal</v>
      </c>
      <c r="M46" s="478">
        <f>VLOOKUP(L46,'Res Nº5.290'!A:B,2,FALSE)</f>
        <v>0.4770833333333333</v>
      </c>
      <c r="N46" s="487">
        <f>(Tabela5[[#This Row],[Horas]]-INT(Tabela5[[#This Row],[Horas]]))*24</f>
        <v>11.45</v>
      </c>
      <c r="O46">
        <v>2.7</v>
      </c>
      <c r="Y46" t="s">
        <v>705</v>
      </c>
      <c r="Z46" t="s">
        <v>500</v>
      </c>
      <c r="AA46" t="s">
        <v>864</v>
      </c>
      <c r="AB46" t="str">
        <f t="shared" si="3"/>
        <v>SP - Pedreira</v>
      </c>
      <c r="AC46" s="482">
        <f>VLOOKUP(AB46,'Res Nº5.290'!A:B,2,FALSE)</f>
        <v>0.47638888888888892</v>
      </c>
      <c r="AD46" s="485">
        <f>(Tabela6[[#This Row],[Horas]]-INT(Tabela6[[#This Row],[Horas]]))*24</f>
        <v>11.433333333333334</v>
      </c>
      <c r="AE46">
        <v>2.7</v>
      </c>
    </row>
    <row r="47" spans="1:31" x14ac:dyDescent="0.25">
      <c r="A47" t="s">
        <v>668</v>
      </c>
      <c r="B47" t="s">
        <v>495</v>
      </c>
      <c r="C47" t="s">
        <v>865</v>
      </c>
      <c r="D47" t="str">
        <f t="shared" si="0"/>
        <v>RS - Casca</v>
      </c>
      <c r="E47" s="482">
        <f>VLOOKUP(D47,'Res Nº5.290'!A:B,2,)</f>
        <v>0.47500000000000003</v>
      </c>
      <c r="F47" s="485">
        <f>(Tabela4[[#This Row],[Horas]]-INT(Tabela4[[#This Row],[Horas]]))*24</f>
        <v>11.4</v>
      </c>
      <c r="G47">
        <v>2.2999999999999998</v>
      </c>
      <c r="I47" t="s">
        <v>701</v>
      </c>
      <c r="J47" t="s">
        <v>500</v>
      </c>
      <c r="K47" t="s">
        <v>866</v>
      </c>
      <c r="L47" s="483" t="str">
        <f t="shared" si="4"/>
        <v>SP - Cabrália Paulista</v>
      </c>
      <c r="M47" s="478">
        <f>VLOOKUP(L47,'Res Nº5.290'!A:B,2,FALSE)</f>
        <v>0.47638888888888892</v>
      </c>
      <c r="N47" s="487">
        <f>(Tabela5[[#This Row],[Horas]]-INT(Tabela5[[#This Row],[Horas]]))*24</f>
        <v>11.433333333333334</v>
      </c>
      <c r="O47">
        <v>2.7</v>
      </c>
    </row>
    <row r="48" spans="1:31" x14ac:dyDescent="0.25">
      <c r="A48" t="s">
        <v>668</v>
      </c>
      <c r="B48" t="s">
        <v>495</v>
      </c>
      <c r="C48" t="s">
        <v>867</v>
      </c>
      <c r="D48" t="str">
        <f t="shared" si="0"/>
        <v>RS - Caseiros</v>
      </c>
      <c r="E48" s="482">
        <f>VLOOKUP(D48,'Res Nº5.290'!A:B,2,)</f>
        <v>0.47500000000000003</v>
      </c>
      <c r="F48" s="485">
        <f>(Tabela4[[#This Row],[Horas]]-INT(Tabela4[[#This Row],[Horas]]))*24</f>
        <v>11.4</v>
      </c>
      <c r="G48">
        <v>2.2999999999999998</v>
      </c>
      <c r="I48" t="s">
        <v>701</v>
      </c>
      <c r="J48" t="s">
        <v>500</v>
      </c>
      <c r="K48" t="s">
        <v>868</v>
      </c>
      <c r="L48" s="483" t="str">
        <f t="shared" si="4"/>
        <v>SP - Cafelândia</v>
      </c>
      <c r="M48" s="478">
        <f>VLOOKUP(L48,'Res Nº5.290'!A:B,2,FALSE)</f>
        <v>0.47638888888888892</v>
      </c>
      <c r="N48" s="487">
        <f>(Tabela5[[#This Row],[Horas]]-INT(Tabela5[[#This Row],[Horas]]))*24</f>
        <v>11.433333333333334</v>
      </c>
      <c r="O48">
        <v>2.7</v>
      </c>
    </row>
    <row r="49" spans="1:15" x14ac:dyDescent="0.25">
      <c r="A49" t="s">
        <v>668</v>
      </c>
      <c r="B49" t="s">
        <v>495</v>
      </c>
      <c r="C49" t="s">
        <v>869</v>
      </c>
      <c r="D49" t="str">
        <f t="shared" si="0"/>
        <v>RS - Catuípe</v>
      </c>
      <c r="E49" s="482">
        <f>VLOOKUP(D49,'Res Nº5.290'!A:B,2,)</f>
        <v>0.47500000000000003</v>
      </c>
      <c r="F49" s="485">
        <f>(Tabela4[[#This Row],[Horas]]-INT(Tabela4[[#This Row],[Horas]]))*24</f>
        <v>11.4</v>
      </c>
      <c r="G49">
        <v>2.2999999999999998</v>
      </c>
      <c r="I49" t="s">
        <v>701</v>
      </c>
      <c r="J49" t="s">
        <v>500</v>
      </c>
      <c r="K49" t="s">
        <v>870</v>
      </c>
      <c r="L49" s="483" t="str">
        <f t="shared" si="4"/>
        <v>SP - Cajobi</v>
      </c>
      <c r="M49" s="478">
        <f>VLOOKUP(L49,'Res Nº5.290'!A:B,2,FALSE)</f>
        <v>0.47638888888888892</v>
      </c>
      <c r="N49" s="487">
        <f>(Tabela5[[#This Row],[Horas]]-INT(Tabela5[[#This Row],[Horas]]))*24</f>
        <v>11.433333333333334</v>
      </c>
      <c r="O49">
        <v>2.7</v>
      </c>
    </row>
    <row r="50" spans="1:15" x14ac:dyDescent="0.25">
      <c r="A50" t="s">
        <v>668</v>
      </c>
      <c r="B50" t="s">
        <v>495</v>
      </c>
      <c r="C50" t="s">
        <v>871</v>
      </c>
      <c r="D50" t="str">
        <f t="shared" si="0"/>
        <v>RS - Caxias do Sul</v>
      </c>
      <c r="E50" s="482">
        <f>VLOOKUP(D50,'Res Nº5.290'!A:B,2,)</f>
        <v>0.47500000000000003</v>
      </c>
      <c r="F50" s="485">
        <f>(Tabela4[[#This Row],[Horas]]-INT(Tabela4[[#This Row],[Horas]]))*24</f>
        <v>11.4</v>
      </c>
      <c r="G50">
        <v>2.2999999999999998</v>
      </c>
      <c r="I50" t="s">
        <v>701</v>
      </c>
      <c r="J50" t="s">
        <v>500</v>
      </c>
      <c r="K50" t="s">
        <v>872</v>
      </c>
      <c r="L50" s="483" t="str">
        <f t="shared" si="4"/>
        <v>SP - Cajuru</v>
      </c>
      <c r="M50" s="478">
        <f>VLOOKUP(L50,'Res Nº5.290'!A:B,2,FALSE)</f>
        <v>0.47638888888888892</v>
      </c>
      <c r="N50" s="487">
        <f>(Tabela5[[#This Row],[Horas]]-INT(Tabela5[[#This Row],[Horas]]))*24</f>
        <v>11.433333333333334</v>
      </c>
      <c r="O50">
        <v>2.7</v>
      </c>
    </row>
    <row r="51" spans="1:15" x14ac:dyDescent="0.25">
      <c r="A51" t="s">
        <v>668</v>
      </c>
      <c r="B51" t="s">
        <v>495</v>
      </c>
      <c r="C51" t="s">
        <v>873</v>
      </c>
      <c r="D51" t="str">
        <f t="shared" si="0"/>
        <v>RS - Centenário</v>
      </c>
      <c r="E51" s="482">
        <f>VLOOKUP(D51,'Res Nº5.290'!A:B,2,)</f>
        <v>0.47500000000000003</v>
      </c>
      <c r="F51" s="485">
        <f>(Tabela4[[#This Row],[Horas]]-INT(Tabela4[[#This Row],[Horas]]))*24</f>
        <v>11.4</v>
      </c>
      <c r="G51">
        <v>2.2999999999999998</v>
      </c>
      <c r="I51" t="s">
        <v>701</v>
      </c>
      <c r="J51" t="s">
        <v>500</v>
      </c>
      <c r="K51" t="s">
        <v>874</v>
      </c>
      <c r="L51" s="483" t="str">
        <f t="shared" si="4"/>
        <v>SP - Campinas</v>
      </c>
      <c r="M51" s="478">
        <f>VLOOKUP(L51,'Res Nº5.290'!A:B,2,FALSE)</f>
        <v>0.47638888888888892</v>
      </c>
      <c r="N51" s="487">
        <f>(Tabela5[[#This Row],[Horas]]-INT(Tabela5[[#This Row],[Horas]]))*24</f>
        <v>11.433333333333334</v>
      </c>
      <c r="O51">
        <v>2.7</v>
      </c>
    </row>
    <row r="52" spans="1:15" x14ac:dyDescent="0.25">
      <c r="A52" t="s">
        <v>668</v>
      </c>
      <c r="B52" t="s">
        <v>495</v>
      </c>
      <c r="C52" t="s">
        <v>875</v>
      </c>
      <c r="D52" t="str">
        <f t="shared" si="0"/>
        <v>RS - Cerro Grande</v>
      </c>
      <c r="E52" s="482">
        <f>VLOOKUP(D52,'Res Nº5.290'!A:B,2,)</f>
        <v>0.47500000000000003</v>
      </c>
      <c r="F52" s="485">
        <f>(Tabela4[[#This Row],[Horas]]-INT(Tabela4[[#This Row],[Horas]]))*24</f>
        <v>11.4</v>
      </c>
      <c r="G52">
        <v>2.2999999999999998</v>
      </c>
      <c r="I52" t="s">
        <v>701</v>
      </c>
      <c r="J52" t="s">
        <v>500</v>
      </c>
      <c r="K52" t="s">
        <v>876</v>
      </c>
      <c r="L52" s="483" t="str">
        <f t="shared" si="4"/>
        <v>SP - Campos Novos Paulista</v>
      </c>
      <c r="M52" s="478">
        <f>VLOOKUP(L52,'Res Nº5.290'!A:B,2,FALSE)</f>
        <v>0.47638888888888892</v>
      </c>
      <c r="N52" s="487">
        <f>(Tabela5[[#This Row],[Horas]]-INT(Tabela5[[#This Row],[Horas]]))*24</f>
        <v>11.433333333333334</v>
      </c>
      <c r="O52">
        <v>2.7</v>
      </c>
    </row>
    <row r="53" spans="1:15" x14ac:dyDescent="0.25">
      <c r="A53" t="s">
        <v>668</v>
      </c>
      <c r="B53" t="s">
        <v>495</v>
      </c>
      <c r="C53" t="s">
        <v>877</v>
      </c>
      <c r="D53" t="str">
        <f t="shared" si="0"/>
        <v>RS - Cerro Largo</v>
      </c>
      <c r="E53" s="482">
        <f>VLOOKUP(D53,'Res Nº5.290'!A:B,2,)</f>
        <v>0.47500000000000003</v>
      </c>
      <c r="F53" s="485">
        <f>(Tabela4[[#This Row],[Horas]]-INT(Tabela4[[#This Row],[Horas]]))*24</f>
        <v>11.4</v>
      </c>
      <c r="G53">
        <v>2.2999999999999998</v>
      </c>
      <c r="I53" t="s">
        <v>701</v>
      </c>
      <c r="J53" t="s">
        <v>500</v>
      </c>
      <c r="K53" t="s">
        <v>878</v>
      </c>
      <c r="L53" s="483" t="str">
        <f t="shared" si="4"/>
        <v>SP - Cândido Rodrigues</v>
      </c>
      <c r="M53" s="478">
        <f>VLOOKUP(L53,'Res Nº5.290'!A:B,2,FALSE)</f>
        <v>0.47638888888888892</v>
      </c>
      <c r="N53" s="487">
        <f>(Tabela5[[#This Row],[Horas]]-INT(Tabela5[[#This Row],[Horas]]))*24</f>
        <v>11.433333333333334</v>
      </c>
      <c r="O53">
        <v>2.7</v>
      </c>
    </row>
    <row r="54" spans="1:15" x14ac:dyDescent="0.25">
      <c r="A54" t="s">
        <v>668</v>
      </c>
      <c r="B54" t="s">
        <v>495</v>
      </c>
      <c r="C54" t="s">
        <v>879</v>
      </c>
      <c r="D54" t="str">
        <f t="shared" si="0"/>
        <v>RS - Charrua</v>
      </c>
      <c r="E54" s="482">
        <f>VLOOKUP(D54,'Res Nº5.290'!A:B,2,)</f>
        <v>0.47500000000000003</v>
      </c>
      <c r="F54" s="485">
        <f>(Tabela4[[#This Row],[Horas]]-INT(Tabela4[[#This Row],[Horas]]))*24</f>
        <v>11.4</v>
      </c>
      <c r="G54">
        <v>2.2999999999999998</v>
      </c>
      <c r="I54" t="s">
        <v>701</v>
      </c>
      <c r="J54" t="s">
        <v>500</v>
      </c>
      <c r="K54" t="s">
        <v>880</v>
      </c>
      <c r="L54" s="483" t="str">
        <f t="shared" si="4"/>
        <v>SP - Capivari</v>
      </c>
      <c r="M54" s="478">
        <f>VLOOKUP(L54,'Res Nº5.290'!A:B,2,FALSE)</f>
        <v>0.47638888888888892</v>
      </c>
      <c r="N54" s="487">
        <f>(Tabela5[[#This Row],[Horas]]-INT(Tabela5[[#This Row],[Horas]]))*24</f>
        <v>11.433333333333334</v>
      </c>
      <c r="O54">
        <v>2.7</v>
      </c>
    </row>
    <row r="55" spans="1:15" x14ac:dyDescent="0.25">
      <c r="A55" t="s">
        <v>668</v>
      </c>
      <c r="B55" t="s">
        <v>495</v>
      </c>
      <c r="C55" t="s">
        <v>881</v>
      </c>
      <c r="D55" t="str">
        <f t="shared" si="0"/>
        <v>RS - Chiapetta</v>
      </c>
      <c r="E55" s="482">
        <f>VLOOKUP(D55,'Res Nº5.290'!A:B,2,)</f>
        <v>0.47500000000000003</v>
      </c>
      <c r="F55" s="485">
        <f>(Tabela4[[#This Row],[Horas]]-INT(Tabela4[[#This Row],[Horas]]))*24</f>
        <v>11.4</v>
      </c>
      <c r="G55">
        <v>2.2999999999999998</v>
      </c>
      <c r="I55" t="s">
        <v>701</v>
      </c>
      <c r="J55" t="s">
        <v>500</v>
      </c>
      <c r="K55" t="s">
        <v>882</v>
      </c>
      <c r="L55" s="483" t="str">
        <f t="shared" si="4"/>
        <v>SP - Cássia dos Coqueiros</v>
      </c>
      <c r="M55" s="478">
        <f>VLOOKUP(L55,'Res Nº5.290'!A:B,2,FALSE)</f>
        <v>0.47638888888888892</v>
      </c>
      <c r="N55" s="487">
        <f>(Tabela5[[#This Row],[Horas]]-INT(Tabela5[[#This Row],[Horas]]))*24</f>
        <v>11.433333333333334</v>
      </c>
      <c r="O55">
        <v>2.7</v>
      </c>
    </row>
    <row r="56" spans="1:15" x14ac:dyDescent="0.25">
      <c r="A56" t="s">
        <v>668</v>
      </c>
      <c r="B56" t="s">
        <v>495</v>
      </c>
      <c r="C56" t="s">
        <v>883</v>
      </c>
      <c r="D56" t="str">
        <f t="shared" si="0"/>
        <v>RS - Ciríaco</v>
      </c>
      <c r="E56" s="482">
        <f>VLOOKUP(D56,'Res Nº5.290'!A:B,2,)</f>
        <v>0.47500000000000003</v>
      </c>
      <c r="F56" s="485">
        <f>(Tabela4[[#This Row],[Horas]]-INT(Tabela4[[#This Row],[Horas]]))*24</f>
        <v>11.4</v>
      </c>
      <c r="G56">
        <v>2.2999999999999998</v>
      </c>
      <c r="I56" t="s">
        <v>701</v>
      </c>
      <c r="J56" t="s">
        <v>500</v>
      </c>
      <c r="K56" t="s">
        <v>884</v>
      </c>
      <c r="L56" s="483" t="str">
        <f t="shared" si="4"/>
        <v>SP - Cedral</v>
      </c>
      <c r="M56" s="478">
        <f>VLOOKUP(L56,'Res Nº5.290'!A:B,2,FALSE)</f>
        <v>0.47638888888888892</v>
      </c>
      <c r="N56" s="487">
        <f>(Tabela5[[#This Row],[Horas]]-INT(Tabela5[[#This Row],[Horas]]))*24</f>
        <v>11.433333333333334</v>
      </c>
      <c r="O56">
        <v>2.7</v>
      </c>
    </row>
    <row r="57" spans="1:15" x14ac:dyDescent="0.25">
      <c r="A57" t="s">
        <v>668</v>
      </c>
      <c r="B57" t="s">
        <v>495</v>
      </c>
      <c r="C57" t="s">
        <v>885</v>
      </c>
      <c r="D57" t="str">
        <f t="shared" si="0"/>
        <v>RS - Constantina</v>
      </c>
      <c r="E57" s="482">
        <f>VLOOKUP(D57,'Res Nº5.290'!A:B,2,)</f>
        <v>0.47500000000000003</v>
      </c>
      <c r="F57" s="485">
        <f>(Tabela4[[#This Row],[Horas]]-INT(Tabela4[[#This Row],[Horas]]))*24</f>
        <v>11.4</v>
      </c>
      <c r="G57">
        <v>2.2999999999999998</v>
      </c>
      <c r="I57" t="s">
        <v>701</v>
      </c>
      <c r="J57" t="s">
        <v>500</v>
      </c>
      <c r="K57" t="s">
        <v>886</v>
      </c>
      <c r="L57" s="483" t="str">
        <f t="shared" si="4"/>
        <v>SP - Charqueada</v>
      </c>
      <c r="M57" s="478">
        <f>VLOOKUP(L57,'Res Nº5.290'!A:B,2,FALSE)</f>
        <v>0.47638888888888892</v>
      </c>
      <c r="N57" s="487">
        <f>(Tabela5[[#This Row],[Horas]]-INT(Tabela5[[#This Row],[Horas]]))*24</f>
        <v>11.433333333333334</v>
      </c>
      <c r="O57">
        <v>2.7</v>
      </c>
    </row>
    <row r="58" spans="1:15" x14ac:dyDescent="0.25">
      <c r="A58" t="s">
        <v>668</v>
      </c>
      <c r="B58" t="s">
        <v>495</v>
      </c>
      <c r="C58" t="s">
        <v>887</v>
      </c>
      <c r="D58" t="str">
        <f t="shared" si="0"/>
        <v>RS - Coronel Bicaco</v>
      </c>
      <c r="E58" s="482">
        <f>VLOOKUP(D58,'Res Nº5.290'!A:B,2,)</f>
        <v>0.47500000000000003</v>
      </c>
      <c r="F58" s="485">
        <f>(Tabela4[[#This Row],[Horas]]-INT(Tabela4[[#This Row],[Horas]]))*24</f>
        <v>11.4</v>
      </c>
      <c r="G58">
        <v>2.2999999999999998</v>
      </c>
      <c r="I58" t="s">
        <v>701</v>
      </c>
      <c r="J58" t="s">
        <v>500</v>
      </c>
      <c r="K58" t="s">
        <v>888</v>
      </c>
      <c r="L58" s="483" t="str">
        <f t="shared" si="4"/>
        <v>SP - Clementina</v>
      </c>
      <c r="M58" s="478">
        <f>VLOOKUP(L58,'Res Nº5.290'!A:B,2,FALSE)</f>
        <v>0.47638888888888892</v>
      </c>
      <c r="N58" s="487">
        <f>(Tabela5[[#This Row],[Horas]]-INT(Tabela5[[#This Row],[Horas]]))*24</f>
        <v>11.433333333333334</v>
      </c>
      <c r="O58">
        <v>2.7</v>
      </c>
    </row>
    <row r="59" spans="1:15" x14ac:dyDescent="0.25">
      <c r="A59" t="s">
        <v>668</v>
      </c>
      <c r="B59" t="s">
        <v>495</v>
      </c>
      <c r="C59" t="s">
        <v>889</v>
      </c>
      <c r="D59" t="str">
        <f t="shared" si="0"/>
        <v>RS - Coronel Pilar</v>
      </c>
      <c r="E59" s="482">
        <f>VLOOKUP(D59,'Res Nº5.290'!A:B,2,)</f>
        <v>0.47500000000000003</v>
      </c>
      <c r="F59" s="485">
        <f>(Tabela4[[#This Row],[Horas]]-INT(Tabela4[[#This Row],[Horas]]))*24</f>
        <v>11.4</v>
      </c>
      <c r="G59">
        <v>2.2999999999999998</v>
      </c>
      <c r="I59" t="s">
        <v>701</v>
      </c>
      <c r="J59" t="s">
        <v>500</v>
      </c>
      <c r="K59" t="s">
        <v>890</v>
      </c>
      <c r="L59" s="483" t="str">
        <f t="shared" si="4"/>
        <v>SP - Colina</v>
      </c>
      <c r="M59" s="478">
        <f>VLOOKUP(L59,'Res Nº5.290'!A:B,2,FALSE)</f>
        <v>0.4770833333333333</v>
      </c>
      <c r="N59" s="487">
        <f>(Tabela5[[#This Row],[Horas]]-INT(Tabela5[[#This Row],[Horas]]))*24</f>
        <v>11.45</v>
      </c>
      <c r="O59">
        <v>2.7</v>
      </c>
    </row>
    <row r="60" spans="1:15" x14ac:dyDescent="0.25">
      <c r="A60" t="s">
        <v>668</v>
      </c>
      <c r="B60" t="s">
        <v>495</v>
      </c>
      <c r="C60" t="s">
        <v>891</v>
      </c>
      <c r="D60" t="str">
        <f t="shared" si="0"/>
        <v>RS - Cotiporã</v>
      </c>
      <c r="E60" s="482">
        <f>VLOOKUP(D60,'Res Nº5.290'!A:B,2,)</f>
        <v>0.47500000000000003</v>
      </c>
      <c r="F60" s="485">
        <f>(Tabela4[[#This Row],[Horas]]-INT(Tabela4[[#This Row],[Horas]]))*24</f>
        <v>11.4</v>
      </c>
      <c r="G60">
        <v>2.2999999999999998</v>
      </c>
      <c r="I60" t="s">
        <v>701</v>
      </c>
      <c r="J60" t="s">
        <v>500</v>
      </c>
      <c r="K60" t="s">
        <v>892</v>
      </c>
      <c r="L60" s="483" t="str">
        <f t="shared" si="4"/>
        <v>SP - Colômbia</v>
      </c>
      <c r="M60" s="478">
        <f>VLOOKUP(L60,'Res Nº5.290'!A:B,2,FALSE)</f>
        <v>0.4770833333333333</v>
      </c>
      <c r="N60" s="487">
        <f>(Tabela5[[#This Row],[Horas]]-INT(Tabela5[[#This Row],[Horas]]))*24</f>
        <v>11.45</v>
      </c>
      <c r="O60">
        <v>2.7</v>
      </c>
    </row>
    <row r="61" spans="1:15" x14ac:dyDescent="0.25">
      <c r="A61" t="s">
        <v>668</v>
      </c>
      <c r="B61" t="s">
        <v>495</v>
      </c>
      <c r="C61" t="s">
        <v>893</v>
      </c>
      <c r="D61" t="str">
        <f t="shared" si="0"/>
        <v>RS - Coxilha</v>
      </c>
      <c r="E61" s="482">
        <f>VLOOKUP(D61,'Res Nº5.290'!A:B,2,)</f>
        <v>0.47500000000000003</v>
      </c>
      <c r="F61" s="485">
        <f>(Tabela4[[#This Row],[Horas]]-INT(Tabela4[[#This Row],[Horas]]))*24</f>
        <v>11.4</v>
      </c>
      <c r="G61">
        <v>2.2999999999999998</v>
      </c>
      <c r="I61" t="s">
        <v>701</v>
      </c>
      <c r="J61" t="s">
        <v>500</v>
      </c>
      <c r="K61" t="s">
        <v>894</v>
      </c>
      <c r="L61" s="483" t="str">
        <f t="shared" si="4"/>
        <v>SP - Coroados</v>
      </c>
      <c r="M61" s="478">
        <f>VLOOKUP(L61,'Res Nº5.290'!A:B,2,FALSE)</f>
        <v>0.47638888888888892</v>
      </c>
      <c r="N61" s="487">
        <f>(Tabela5[[#This Row],[Horas]]-INT(Tabela5[[#This Row],[Horas]]))*24</f>
        <v>11.433333333333334</v>
      </c>
      <c r="O61">
        <v>2.7</v>
      </c>
    </row>
    <row r="62" spans="1:15" x14ac:dyDescent="0.25">
      <c r="A62" t="s">
        <v>668</v>
      </c>
      <c r="B62" t="s">
        <v>495</v>
      </c>
      <c r="C62" t="s">
        <v>895</v>
      </c>
      <c r="D62" t="str">
        <f t="shared" si="0"/>
        <v>RS - Crissiumal</v>
      </c>
      <c r="E62" s="482">
        <f>VLOOKUP(D62,'Res Nº5.290'!A:B,2,)</f>
        <v>0.47500000000000003</v>
      </c>
      <c r="F62" s="485">
        <f>(Tabela4[[#This Row],[Horas]]-INT(Tabela4[[#This Row],[Horas]]))*24</f>
        <v>11.4</v>
      </c>
      <c r="G62">
        <v>2.2999999999999998</v>
      </c>
      <c r="I62" t="s">
        <v>701</v>
      </c>
      <c r="J62" t="s">
        <v>500</v>
      </c>
      <c r="K62" t="s">
        <v>896</v>
      </c>
      <c r="L62" s="483" t="str">
        <f t="shared" si="4"/>
        <v>SP - Cosmópolis</v>
      </c>
      <c r="M62" s="478">
        <f>VLOOKUP(L62,'Res Nº5.290'!A:B,2,FALSE)</f>
        <v>0.47638888888888892</v>
      </c>
      <c r="N62" s="487">
        <f>(Tabela5[[#This Row],[Horas]]-INT(Tabela5[[#This Row],[Horas]]))*24</f>
        <v>11.433333333333334</v>
      </c>
      <c r="O62">
        <v>2.7</v>
      </c>
    </row>
    <row r="63" spans="1:15" x14ac:dyDescent="0.25">
      <c r="A63" t="s">
        <v>668</v>
      </c>
      <c r="B63" t="s">
        <v>495</v>
      </c>
      <c r="C63" t="s">
        <v>897</v>
      </c>
      <c r="D63" t="str">
        <f t="shared" si="0"/>
        <v>RS - Cristal do Sul</v>
      </c>
      <c r="E63" s="482">
        <f>VLOOKUP(D63,'Res Nº5.290'!A:B,2,)</f>
        <v>0.47569444444444442</v>
      </c>
      <c r="F63" s="485">
        <f>(Tabela4[[#This Row],[Horas]]-INT(Tabela4[[#This Row],[Horas]]))*24</f>
        <v>11.416666666666666</v>
      </c>
      <c r="G63">
        <v>2.2999999999999998</v>
      </c>
      <c r="I63" t="s">
        <v>701</v>
      </c>
      <c r="J63" t="s">
        <v>500</v>
      </c>
      <c r="K63" t="s">
        <v>898</v>
      </c>
      <c r="L63" s="483" t="str">
        <f t="shared" si="4"/>
        <v>SP - Cravinhos</v>
      </c>
      <c r="M63" s="478">
        <f>VLOOKUP(L63,'Res Nº5.290'!A:B,2,FALSE)</f>
        <v>0.47638888888888892</v>
      </c>
      <c r="N63" s="487">
        <f>(Tabela5[[#This Row],[Horas]]-INT(Tabela5[[#This Row],[Horas]]))*24</f>
        <v>11.433333333333334</v>
      </c>
      <c r="O63">
        <v>2.7</v>
      </c>
    </row>
    <row r="64" spans="1:15" x14ac:dyDescent="0.25">
      <c r="A64" t="s">
        <v>668</v>
      </c>
      <c r="B64" t="s">
        <v>495</v>
      </c>
      <c r="C64" t="s">
        <v>899</v>
      </c>
      <c r="D64" t="str">
        <f t="shared" si="0"/>
        <v>RS - Cruz Alta</v>
      </c>
      <c r="E64" s="482">
        <f>VLOOKUP(D64,'Res Nº5.290'!A:B,2,)</f>
        <v>0.47500000000000003</v>
      </c>
      <c r="F64" s="485">
        <f>(Tabela4[[#This Row],[Horas]]-INT(Tabela4[[#This Row],[Horas]]))*24</f>
        <v>11.4</v>
      </c>
      <c r="G64">
        <v>2.2999999999999998</v>
      </c>
      <c r="I64" t="s">
        <v>701</v>
      </c>
      <c r="J64" t="s">
        <v>500</v>
      </c>
      <c r="K64" t="s">
        <v>900</v>
      </c>
      <c r="L64" s="483" t="str">
        <f t="shared" si="4"/>
        <v>SP - Cristais Paulista</v>
      </c>
      <c r="M64" s="478">
        <f>VLOOKUP(L64,'Res Nº5.290'!A:B,2,FALSE)</f>
        <v>0.4770833333333333</v>
      </c>
      <c r="N64" s="487">
        <f>(Tabela5[[#This Row],[Horas]]-INT(Tabela5[[#This Row],[Horas]]))*24</f>
        <v>11.45</v>
      </c>
      <c r="O64">
        <v>2.7</v>
      </c>
    </row>
    <row r="65" spans="1:15" x14ac:dyDescent="0.25">
      <c r="A65" t="s">
        <v>668</v>
      </c>
      <c r="B65" t="s">
        <v>495</v>
      </c>
      <c r="C65" t="s">
        <v>901</v>
      </c>
      <c r="D65" t="str">
        <f t="shared" si="0"/>
        <v>RS - Cruzaltense</v>
      </c>
      <c r="E65" s="482">
        <f>VLOOKUP(D65,'Res Nº5.290'!A:B,2,)</f>
        <v>0.47500000000000003</v>
      </c>
      <c r="F65" s="485">
        <f>(Tabela4[[#This Row],[Horas]]-INT(Tabela4[[#This Row],[Horas]]))*24</f>
        <v>11.4</v>
      </c>
      <c r="G65">
        <v>2.2999999999999998</v>
      </c>
      <c r="I65" t="s">
        <v>701</v>
      </c>
      <c r="J65" t="s">
        <v>500</v>
      </c>
      <c r="K65" t="s">
        <v>902</v>
      </c>
      <c r="L65" s="483" t="str">
        <f t="shared" si="4"/>
        <v>SP - Descalvado</v>
      </c>
      <c r="M65" s="478">
        <f>VLOOKUP(L65,'Res Nº5.290'!A:B,2,FALSE)</f>
        <v>0.47638888888888892</v>
      </c>
      <c r="N65" s="487">
        <f>(Tabela5[[#This Row],[Horas]]-INT(Tabela5[[#This Row],[Horas]]))*24</f>
        <v>11.433333333333334</v>
      </c>
      <c r="O65">
        <v>2.7</v>
      </c>
    </row>
    <row r="66" spans="1:15" x14ac:dyDescent="0.25">
      <c r="A66" t="s">
        <v>668</v>
      </c>
      <c r="B66" t="s">
        <v>495</v>
      </c>
      <c r="C66" t="s">
        <v>903</v>
      </c>
      <c r="D66" t="str">
        <f t="shared" ref="D66:D129" si="5">CONCATENATE(B66," - ",C66)</f>
        <v>RS - David Canabarro</v>
      </c>
      <c r="E66" s="482">
        <f>VLOOKUP(D66,'Res Nº5.290'!A:B,2,)</f>
        <v>0.47500000000000003</v>
      </c>
      <c r="F66" s="485">
        <f>(Tabela4[[#This Row],[Horas]]-INT(Tabela4[[#This Row],[Horas]]))*24</f>
        <v>11.4</v>
      </c>
      <c r="G66">
        <v>2.2999999999999998</v>
      </c>
      <c r="I66" t="s">
        <v>701</v>
      </c>
      <c r="J66" t="s">
        <v>500</v>
      </c>
      <c r="K66" t="s">
        <v>904</v>
      </c>
      <c r="L66" s="483" t="str">
        <f t="shared" ref="L66:L129" si="6">CONCATENATE(J66," - ",K66)</f>
        <v>SP - Dobrada</v>
      </c>
      <c r="M66" s="478">
        <f>VLOOKUP(L66,'Res Nº5.290'!A:B,2,FALSE)</f>
        <v>0.47638888888888892</v>
      </c>
      <c r="N66" s="487">
        <f>(Tabela5[[#This Row],[Horas]]-INT(Tabela5[[#This Row],[Horas]]))*24</f>
        <v>11.433333333333334</v>
      </c>
      <c r="O66">
        <v>2.7</v>
      </c>
    </row>
    <row r="67" spans="1:15" x14ac:dyDescent="0.25">
      <c r="A67" t="s">
        <v>668</v>
      </c>
      <c r="B67" t="s">
        <v>495</v>
      </c>
      <c r="C67" t="s">
        <v>905</v>
      </c>
      <c r="D67" t="str">
        <f t="shared" si="5"/>
        <v>RS - Derrubadas</v>
      </c>
      <c r="E67" s="482">
        <f>VLOOKUP(D67,'Res Nº5.290'!A:B,2,)</f>
        <v>0.47569444444444442</v>
      </c>
      <c r="F67" s="485">
        <f>(Tabela4[[#This Row],[Horas]]-INT(Tabela4[[#This Row],[Horas]]))*24</f>
        <v>11.416666666666666</v>
      </c>
      <c r="G67">
        <v>2.2999999999999998</v>
      </c>
      <c r="I67" t="s">
        <v>701</v>
      </c>
      <c r="J67" t="s">
        <v>500</v>
      </c>
      <c r="K67" t="s">
        <v>906</v>
      </c>
      <c r="L67" s="483" t="str">
        <f t="shared" si="6"/>
        <v>SP - Dois Córregos</v>
      </c>
      <c r="M67" s="478">
        <f>VLOOKUP(L67,'Res Nº5.290'!A:B,2,FALSE)</f>
        <v>0.47638888888888892</v>
      </c>
      <c r="N67" s="487">
        <f>(Tabela5[[#This Row],[Horas]]-INT(Tabela5[[#This Row],[Horas]]))*24</f>
        <v>11.433333333333334</v>
      </c>
      <c r="O67">
        <v>2.7</v>
      </c>
    </row>
    <row r="68" spans="1:15" x14ac:dyDescent="0.25">
      <c r="A68" t="s">
        <v>668</v>
      </c>
      <c r="B68" t="s">
        <v>495</v>
      </c>
      <c r="C68" t="s">
        <v>907</v>
      </c>
      <c r="D68" t="str">
        <f t="shared" si="5"/>
        <v>RS - Dezesseis de Novembro</v>
      </c>
      <c r="E68" s="482">
        <f>VLOOKUP(D68,'Res Nº5.290'!A:B,2,)</f>
        <v>0.47500000000000003</v>
      </c>
      <c r="F68" s="485">
        <f>(Tabela4[[#This Row],[Horas]]-INT(Tabela4[[#This Row],[Horas]]))*24</f>
        <v>11.4</v>
      </c>
      <c r="G68">
        <v>2.2999999999999998</v>
      </c>
      <c r="I68" t="s">
        <v>701</v>
      </c>
      <c r="J68" t="s">
        <v>500</v>
      </c>
      <c r="K68" t="s">
        <v>908</v>
      </c>
      <c r="L68" s="483" t="str">
        <f t="shared" si="6"/>
        <v>SP - Dourado</v>
      </c>
      <c r="M68" s="478">
        <f>VLOOKUP(L68,'Res Nº5.290'!A:B,2,FALSE)</f>
        <v>0.47638888888888892</v>
      </c>
      <c r="N68" s="487">
        <f>(Tabela5[[#This Row],[Horas]]-INT(Tabela5[[#This Row],[Horas]]))*24</f>
        <v>11.433333333333334</v>
      </c>
      <c r="O68">
        <v>2.7</v>
      </c>
    </row>
    <row r="69" spans="1:15" x14ac:dyDescent="0.25">
      <c r="A69" t="s">
        <v>668</v>
      </c>
      <c r="B69" t="s">
        <v>495</v>
      </c>
      <c r="C69" t="s">
        <v>909</v>
      </c>
      <c r="D69" t="str">
        <f t="shared" si="5"/>
        <v>RS - Dois Irmãos das Missões</v>
      </c>
      <c r="E69" s="482">
        <f>VLOOKUP(D69,'Res Nº5.290'!A:B,2,)</f>
        <v>0.47500000000000003</v>
      </c>
      <c r="F69" s="485">
        <f>(Tabela4[[#This Row],[Horas]]-INT(Tabela4[[#This Row],[Horas]]))*24</f>
        <v>11.4</v>
      </c>
      <c r="G69">
        <v>2.2999999999999998</v>
      </c>
      <c r="I69" t="s">
        <v>701</v>
      </c>
      <c r="J69" t="s">
        <v>500</v>
      </c>
      <c r="K69" t="s">
        <v>910</v>
      </c>
      <c r="L69" s="483" t="str">
        <f t="shared" si="6"/>
        <v>SP - Duartina</v>
      </c>
      <c r="M69" s="478">
        <f>VLOOKUP(L69,'Res Nº5.290'!A:B,2,FALSE)</f>
        <v>0.47638888888888892</v>
      </c>
      <c r="N69" s="487">
        <f>(Tabela5[[#This Row],[Horas]]-INT(Tabela5[[#This Row],[Horas]]))*24</f>
        <v>11.433333333333334</v>
      </c>
      <c r="O69">
        <v>2.7</v>
      </c>
    </row>
    <row r="70" spans="1:15" x14ac:dyDescent="0.25">
      <c r="A70" t="s">
        <v>668</v>
      </c>
      <c r="B70" t="s">
        <v>495</v>
      </c>
      <c r="C70" t="s">
        <v>911</v>
      </c>
      <c r="D70" t="str">
        <f t="shared" si="5"/>
        <v>RS - Dois Lajeados</v>
      </c>
      <c r="E70" s="482">
        <f>VLOOKUP(D70,'Res Nº5.290'!A:B,2,)</f>
        <v>0.47500000000000003</v>
      </c>
      <c r="F70" s="485">
        <f>(Tabela4[[#This Row],[Horas]]-INT(Tabela4[[#This Row],[Horas]]))*24</f>
        <v>11.4</v>
      </c>
      <c r="G70">
        <v>2.2999999999999998</v>
      </c>
      <c r="I70" t="s">
        <v>701</v>
      </c>
      <c r="J70" t="s">
        <v>500</v>
      </c>
      <c r="K70" t="s">
        <v>912</v>
      </c>
      <c r="L70" s="483" t="str">
        <f t="shared" si="6"/>
        <v>SP - Dumont</v>
      </c>
      <c r="M70" s="478">
        <f>VLOOKUP(L70,'Res Nº5.290'!A:B,2,FALSE)</f>
        <v>0.47638888888888892</v>
      </c>
      <c r="N70" s="487">
        <f>(Tabela5[[#This Row],[Horas]]-INT(Tabela5[[#This Row],[Horas]]))*24</f>
        <v>11.433333333333334</v>
      </c>
      <c r="O70">
        <v>2.7</v>
      </c>
    </row>
    <row r="71" spans="1:15" x14ac:dyDescent="0.25">
      <c r="A71" t="s">
        <v>668</v>
      </c>
      <c r="B71" t="s">
        <v>495</v>
      </c>
      <c r="C71" t="s">
        <v>913</v>
      </c>
      <c r="D71" t="str">
        <f t="shared" si="5"/>
        <v>RS - Doutor Maurício Cardoso</v>
      </c>
      <c r="E71" s="482">
        <f>VLOOKUP(D71,'Res Nº5.290'!A:B,2,)</f>
        <v>0.47500000000000003</v>
      </c>
      <c r="F71" s="485">
        <f>(Tabela4[[#This Row],[Horas]]-INT(Tabela4[[#This Row],[Horas]]))*24</f>
        <v>11.4</v>
      </c>
      <c r="G71">
        <v>2.2999999999999998</v>
      </c>
      <c r="I71" t="s">
        <v>701</v>
      </c>
      <c r="J71" t="s">
        <v>500</v>
      </c>
      <c r="K71" t="s">
        <v>914</v>
      </c>
      <c r="L71" s="483" t="str">
        <f t="shared" si="6"/>
        <v>SP - Elias Fausto</v>
      </c>
      <c r="M71" s="478">
        <f>VLOOKUP(L71,'Res Nº5.290'!A:B,2,FALSE)</f>
        <v>0.47638888888888892</v>
      </c>
      <c r="N71" s="487">
        <f>(Tabela5[[#This Row],[Horas]]-INT(Tabela5[[#This Row],[Horas]]))*24</f>
        <v>11.433333333333334</v>
      </c>
      <c r="O71">
        <v>2.7</v>
      </c>
    </row>
    <row r="72" spans="1:15" x14ac:dyDescent="0.25">
      <c r="A72" t="s">
        <v>668</v>
      </c>
      <c r="B72" t="s">
        <v>495</v>
      </c>
      <c r="C72" t="s">
        <v>915</v>
      </c>
      <c r="D72" t="str">
        <f t="shared" si="5"/>
        <v>RS - Engenho Velho</v>
      </c>
      <c r="E72" s="482">
        <f>VLOOKUP(D72,'Res Nº5.290'!A:B,2,)</f>
        <v>0.47500000000000003</v>
      </c>
      <c r="F72" s="485">
        <f>(Tabela4[[#This Row],[Horas]]-INT(Tabela4[[#This Row],[Horas]]))*24</f>
        <v>11.4</v>
      </c>
      <c r="G72">
        <v>2.2999999999999998</v>
      </c>
      <c r="I72" t="s">
        <v>701</v>
      </c>
      <c r="J72" t="s">
        <v>500</v>
      </c>
      <c r="K72" t="s">
        <v>916</v>
      </c>
      <c r="L72" s="483" t="str">
        <f t="shared" si="6"/>
        <v>SP - Embaúba</v>
      </c>
      <c r="M72" s="478">
        <f>VLOOKUP(L72,'Res Nº5.290'!A:B,2,FALSE)</f>
        <v>0.47638888888888892</v>
      </c>
      <c r="N72" s="487">
        <f>(Tabela5[[#This Row],[Horas]]-INT(Tabela5[[#This Row],[Horas]]))*24</f>
        <v>11.433333333333334</v>
      </c>
      <c r="O72">
        <v>2.7</v>
      </c>
    </row>
    <row r="73" spans="1:15" x14ac:dyDescent="0.25">
      <c r="A73" t="s">
        <v>668</v>
      </c>
      <c r="B73" t="s">
        <v>495</v>
      </c>
      <c r="C73" t="s">
        <v>917</v>
      </c>
      <c r="D73" t="str">
        <f t="shared" si="5"/>
        <v>RS - Entre Rios do Sul</v>
      </c>
      <c r="E73" s="482">
        <f>VLOOKUP(D73,'Res Nº5.290'!A:B,2,)</f>
        <v>0.47500000000000003</v>
      </c>
      <c r="F73" s="485">
        <f>(Tabela4[[#This Row],[Horas]]-INT(Tabela4[[#This Row],[Horas]]))*24</f>
        <v>11.4</v>
      </c>
      <c r="G73">
        <v>2.2999999999999998</v>
      </c>
      <c r="I73" t="s">
        <v>701</v>
      </c>
      <c r="J73" t="s">
        <v>500</v>
      </c>
      <c r="K73" t="s">
        <v>918</v>
      </c>
      <c r="L73" s="483" t="str">
        <f t="shared" si="6"/>
        <v>SP - Espírito Santo do Pinhal</v>
      </c>
      <c r="M73" s="478">
        <f>VLOOKUP(L73,'Res Nº5.290'!A:B,2,FALSE)</f>
        <v>0.47638888888888892</v>
      </c>
      <c r="N73" s="487">
        <f>(Tabela5[[#This Row],[Horas]]-INT(Tabela5[[#This Row],[Horas]]))*24</f>
        <v>11.433333333333334</v>
      </c>
      <c r="O73">
        <v>2.7</v>
      </c>
    </row>
    <row r="74" spans="1:15" x14ac:dyDescent="0.25">
      <c r="A74" t="s">
        <v>668</v>
      </c>
      <c r="B74" t="s">
        <v>495</v>
      </c>
      <c r="C74" t="s">
        <v>919</v>
      </c>
      <c r="D74" t="str">
        <f t="shared" si="5"/>
        <v>RS - Entre-Ijuís</v>
      </c>
      <c r="E74" s="482">
        <f>VLOOKUP(D74,'Res Nº5.290'!A:B,2,)</f>
        <v>0.47500000000000003</v>
      </c>
      <c r="F74" s="485">
        <f>(Tabela4[[#This Row],[Horas]]-INT(Tabela4[[#This Row],[Horas]]))*24</f>
        <v>11.4</v>
      </c>
      <c r="G74">
        <v>2.2999999999999998</v>
      </c>
      <c r="I74" t="s">
        <v>701</v>
      </c>
      <c r="J74" t="s">
        <v>500</v>
      </c>
      <c r="K74" t="s">
        <v>920</v>
      </c>
      <c r="L74" s="483" t="str">
        <f t="shared" si="6"/>
        <v>SP - Fernando Prestes</v>
      </c>
      <c r="M74" s="478">
        <f>VLOOKUP(L74,'Res Nº5.290'!A:B,2,FALSE)</f>
        <v>0.47638888888888892</v>
      </c>
      <c r="N74" s="487">
        <f>(Tabela5[[#This Row],[Horas]]-INT(Tabela5[[#This Row],[Horas]]))*24</f>
        <v>11.433333333333334</v>
      </c>
      <c r="O74">
        <v>2.7</v>
      </c>
    </row>
    <row r="75" spans="1:15" x14ac:dyDescent="0.25">
      <c r="A75" t="s">
        <v>668</v>
      </c>
      <c r="B75" t="s">
        <v>495</v>
      </c>
      <c r="C75" t="s">
        <v>921</v>
      </c>
      <c r="D75" t="str">
        <f t="shared" si="5"/>
        <v>RS - Erebango</v>
      </c>
      <c r="E75" s="482">
        <f>VLOOKUP(D75,'Res Nº5.290'!A:B,2,)</f>
        <v>0.47500000000000003</v>
      </c>
      <c r="F75" s="485">
        <f>(Tabela4[[#This Row],[Horas]]-INT(Tabela4[[#This Row],[Horas]]))*24</f>
        <v>11.4</v>
      </c>
      <c r="G75">
        <v>2.2999999999999998</v>
      </c>
      <c r="I75" t="s">
        <v>701</v>
      </c>
      <c r="J75" t="s">
        <v>500</v>
      </c>
      <c r="K75" t="s">
        <v>922</v>
      </c>
      <c r="L75" s="483" t="str">
        <f t="shared" si="6"/>
        <v>SP - Fernão</v>
      </c>
      <c r="M75" s="478">
        <f>VLOOKUP(L75,'Res Nº5.290'!A:B,2,FALSE)</f>
        <v>0.47638888888888892</v>
      </c>
      <c r="N75" s="487">
        <f>(Tabela5[[#This Row],[Horas]]-INT(Tabela5[[#This Row],[Horas]]))*24</f>
        <v>11.433333333333334</v>
      </c>
      <c r="O75">
        <v>2.7</v>
      </c>
    </row>
    <row r="76" spans="1:15" x14ac:dyDescent="0.25">
      <c r="A76" t="s">
        <v>668</v>
      </c>
      <c r="B76" t="s">
        <v>495</v>
      </c>
      <c r="C76" t="s">
        <v>923</v>
      </c>
      <c r="D76" t="str">
        <f t="shared" si="5"/>
        <v>RS - Erechim</v>
      </c>
      <c r="E76" s="482">
        <f>VLOOKUP(D76,'Res Nº5.290'!A:B,2,)</f>
        <v>0.47500000000000003</v>
      </c>
      <c r="F76" s="485">
        <f>(Tabela4[[#This Row],[Horas]]-INT(Tabela4[[#This Row],[Horas]]))*24</f>
        <v>11.4</v>
      </c>
      <c r="G76">
        <v>2.2999999999999998</v>
      </c>
      <c r="I76" t="s">
        <v>701</v>
      </c>
      <c r="J76" t="s">
        <v>500</v>
      </c>
      <c r="K76" t="s">
        <v>924</v>
      </c>
      <c r="L76" s="483" t="str">
        <f t="shared" si="6"/>
        <v>SP - Franca</v>
      </c>
      <c r="M76" s="478">
        <f>VLOOKUP(L76,'Res Nº5.290'!A:B,2,FALSE)</f>
        <v>0.4770833333333333</v>
      </c>
      <c r="N76" s="487">
        <f>(Tabela5[[#This Row],[Horas]]-INT(Tabela5[[#This Row],[Horas]]))*24</f>
        <v>11.45</v>
      </c>
      <c r="O76">
        <v>2.7</v>
      </c>
    </row>
    <row r="77" spans="1:15" x14ac:dyDescent="0.25">
      <c r="A77" t="s">
        <v>668</v>
      </c>
      <c r="B77" t="s">
        <v>495</v>
      </c>
      <c r="C77" t="s">
        <v>925</v>
      </c>
      <c r="D77" t="str">
        <f t="shared" si="5"/>
        <v>RS - Ernestina</v>
      </c>
      <c r="E77" s="482">
        <f>VLOOKUP(D77,'Res Nº5.290'!A:B,2,)</f>
        <v>0.47500000000000003</v>
      </c>
      <c r="F77" s="485">
        <f>(Tabela4[[#This Row],[Horas]]-INT(Tabela4[[#This Row],[Horas]]))*24</f>
        <v>11.4</v>
      </c>
      <c r="G77">
        <v>2.2999999999999998</v>
      </c>
      <c r="I77" t="s">
        <v>701</v>
      </c>
      <c r="J77" t="s">
        <v>500</v>
      </c>
      <c r="K77" t="s">
        <v>926</v>
      </c>
      <c r="L77" s="483" t="str">
        <f t="shared" si="6"/>
        <v>SP - Gabriel Monteiro</v>
      </c>
      <c r="M77" s="478">
        <f>VLOOKUP(L77,'Res Nº5.290'!A:B,2,FALSE)</f>
        <v>0.47638888888888892</v>
      </c>
      <c r="N77" s="487">
        <f>(Tabela5[[#This Row],[Horas]]-INT(Tabela5[[#This Row],[Horas]]))*24</f>
        <v>11.433333333333334</v>
      </c>
      <c r="O77">
        <v>2.7</v>
      </c>
    </row>
    <row r="78" spans="1:15" x14ac:dyDescent="0.25">
      <c r="A78" t="s">
        <v>668</v>
      </c>
      <c r="B78" t="s">
        <v>495</v>
      </c>
      <c r="C78" t="s">
        <v>927</v>
      </c>
      <c r="D78" t="str">
        <f t="shared" si="5"/>
        <v>RS - Erval Grande</v>
      </c>
      <c r="E78" s="482">
        <f>VLOOKUP(D78,'Res Nº5.290'!A:B,2,)</f>
        <v>0.47569444444444442</v>
      </c>
      <c r="F78" s="485">
        <f>(Tabela4[[#This Row],[Horas]]-INT(Tabela4[[#This Row],[Horas]]))*24</f>
        <v>11.416666666666666</v>
      </c>
      <c r="G78">
        <v>2.2999999999999998</v>
      </c>
      <c r="I78" t="s">
        <v>701</v>
      </c>
      <c r="J78" t="s">
        <v>500</v>
      </c>
      <c r="K78" t="s">
        <v>928</v>
      </c>
      <c r="L78" s="483" t="str">
        <f t="shared" si="6"/>
        <v>SP - Gália</v>
      </c>
      <c r="M78" s="478">
        <f>VLOOKUP(L78,'Res Nº5.290'!A:B,2,FALSE)</f>
        <v>0.47638888888888892</v>
      </c>
      <c r="N78" s="487">
        <f>(Tabela5[[#This Row],[Horas]]-INT(Tabela5[[#This Row],[Horas]]))*24</f>
        <v>11.433333333333334</v>
      </c>
      <c r="O78">
        <v>2.7</v>
      </c>
    </row>
    <row r="79" spans="1:15" x14ac:dyDescent="0.25">
      <c r="A79" t="s">
        <v>668</v>
      </c>
      <c r="B79" t="s">
        <v>495</v>
      </c>
      <c r="C79" t="s">
        <v>929</v>
      </c>
      <c r="D79" t="str">
        <f t="shared" si="5"/>
        <v>RS - Erval Seco</v>
      </c>
      <c r="E79" s="482">
        <f>VLOOKUP(D79,'Res Nº5.290'!A:B,2,)</f>
        <v>0.47500000000000003</v>
      </c>
      <c r="F79" s="485">
        <f>(Tabela4[[#This Row],[Horas]]-INT(Tabela4[[#This Row],[Horas]]))*24</f>
        <v>11.4</v>
      </c>
      <c r="G79">
        <v>2.2999999999999998</v>
      </c>
      <c r="I79" t="s">
        <v>701</v>
      </c>
      <c r="J79" t="s">
        <v>500</v>
      </c>
      <c r="K79" t="s">
        <v>930</v>
      </c>
      <c r="L79" s="483" t="str">
        <f t="shared" si="6"/>
        <v>SP - Garça</v>
      </c>
      <c r="M79" s="478">
        <f>VLOOKUP(L79,'Res Nº5.290'!A:B,2,FALSE)</f>
        <v>0.47638888888888892</v>
      </c>
      <c r="N79" s="487">
        <f>(Tabela5[[#This Row],[Horas]]-INT(Tabela5[[#This Row],[Horas]]))*24</f>
        <v>11.433333333333334</v>
      </c>
      <c r="O79">
        <v>2.7</v>
      </c>
    </row>
    <row r="80" spans="1:15" x14ac:dyDescent="0.25">
      <c r="A80" t="s">
        <v>668</v>
      </c>
      <c r="B80" t="s">
        <v>495</v>
      </c>
      <c r="C80" t="s">
        <v>931</v>
      </c>
      <c r="D80" t="str">
        <f t="shared" si="5"/>
        <v>RS - Esmeralda</v>
      </c>
      <c r="E80" s="482">
        <f>VLOOKUP(D80,'Res Nº5.290'!A:B,2,)</f>
        <v>0.47500000000000003</v>
      </c>
      <c r="F80" s="485">
        <f>(Tabela4[[#This Row],[Horas]]-INT(Tabela4[[#This Row],[Horas]]))*24</f>
        <v>11.4</v>
      </c>
      <c r="G80">
        <v>2.2999999999999998</v>
      </c>
      <c r="I80" t="s">
        <v>701</v>
      </c>
      <c r="J80" t="s">
        <v>500</v>
      </c>
      <c r="K80" t="s">
        <v>932</v>
      </c>
      <c r="L80" s="483" t="str">
        <f t="shared" si="6"/>
        <v>SP - Gavião Peixoto</v>
      </c>
      <c r="M80" s="478">
        <f>VLOOKUP(L80,'Res Nº5.290'!A:B,2,FALSE)</f>
        <v>0.47638888888888892</v>
      </c>
      <c r="N80" s="487">
        <f>(Tabela5[[#This Row],[Horas]]-INT(Tabela5[[#This Row],[Horas]]))*24</f>
        <v>11.433333333333334</v>
      </c>
      <c r="O80">
        <v>2.7</v>
      </c>
    </row>
    <row r="81" spans="1:15" x14ac:dyDescent="0.25">
      <c r="A81" t="s">
        <v>668</v>
      </c>
      <c r="B81" t="s">
        <v>495</v>
      </c>
      <c r="C81" t="s">
        <v>933</v>
      </c>
      <c r="D81" t="str">
        <f t="shared" si="5"/>
        <v>RS - Esperança do Sul</v>
      </c>
      <c r="E81" s="482">
        <f>VLOOKUP(D81,'Res Nº5.290'!A:B,2,)</f>
        <v>0.47569444444444442</v>
      </c>
      <c r="F81" s="485">
        <f>(Tabela4[[#This Row],[Horas]]-INT(Tabela4[[#This Row],[Horas]]))*24</f>
        <v>11.416666666666666</v>
      </c>
      <c r="G81">
        <v>2.2999999999999998</v>
      </c>
      <c r="I81" t="s">
        <v>701</v>
      </c>
      <c r="J81" t="s">
        <v>500</v>
      </c>
      <c r="K81" t="s">
        <v>934</v>
      </c>
      <c r="L81" s="483" t="str">
        <f t="shared" si="6"/>
        <v>SP - Getulina</v>
      </c>
      <c r="M81" s="478">
        <f>VLOOKUP(L81,'Res Nº5.290'!A:B,2,FALSE)</f>
        <v>0.47638888888888892</v>
      </c>
      <c r="N81" s="487">
        <f>(Tabela5[[#This Row],[Horas]]-INT(Tabela5[[#This Row],[Horas]]))*24</f>
        <v>11.433333333333334</v>
      </c>
      <c r="O81">
        <v>2.7</v>
      </c>
    </row>
    <row r="82" spans="1:15" x14ac:dyDescent="0.25">
      <c r="A82" t="s">
        <v>668</v>
      </c>
      <c r="B82" t="s">
        <v>495</v>
      </c>
      <c r="C82" t="s">
        <v>935</v>
      </c>
      <c r="D82" t="str">
        <f t="shared" si="5"/>
        <v>RS - Espumoso</v>
      </c>
      <c r="E82" s="482">
        <f>VLOOKUP(D82,'Res Nº5.290'!A:B,2,)</f>
        <v>0.47500000000000003</v>
      </c>
      <c r="F82" s="485">
        <f>(Tabela4[[#This Row],[Horas]]-INT(Tabela4[[#This Row],[Horas]]))*24</f>
        <v>11.4</v>
      </c>
      <c r="G82">
        <v>2.2999999999999998</v>
      </c>
      <c r="I82" t="s">
        <v>701</v>
      </c>
      <c r="J82" t="s">
        <v>500</v>
      </c>
      <c r="K82" t="s">
        <v>936</v>
      </c>
      <c r="L82" s="483" t="str">
        <f t="shared" si="6"/>
        <v>SP - Glicério</v>
      </c>
      <c r="M82" s="478">
        <f>VLOOKUP(L82,'Res Nº5.290'!A:B,2,FALSE)</f>
        <v>0.47638888888888892</v>
      </c>
      <c r="N82" s="487">
        <f>(Tabela5[[#This Row],[Horas]]-INT(Tabela5[[#This Row],[Horas]]))*24</f>
        <v>11.433333333333334</v>
      </c>
      <c r="O82">
        <v>2.7</v>
      </c>
    </row>
    <row r="83" spans="1:15" x14ac:dyDescent="0.25">
      <c r="A83" t="s">
        <v>668</v>
      </c>
      <c r="B83" t="s">
        <v>495</v>
      </c>
      <c r="C83" t="s">
        <v>937</v>
      </c>
      <c r="D83" t="str">
        <f t="shared" si="5"/>
        <v>RS - Estação</v>
      </c>
      <c r="E83" s="482">
        <f>VLOOKUP(D83,'Res Nº5.290'!A:B,2,)</f>
        <v>0.47500000000000003</v>
      </c>
      <c r="F83" s="485">
        <f>(Tabela4[[#This Row],[Horas]]-INT(Tabela4[[#This Row],[Horas]]))*24</f>
        <v>11.4</v>
      </c>
      <c r="G83">
        <v>2.2999999999999998</v>
      </c>
      <c r="I83" t="s">
        <v>701</v>
      </c>
      <c r="J83" t="s">
        <v>500</v>
      </c>
      <c r="K83" t="s">
        <v>938</v>
      </c>
      <c r="L83" s="483" t="str">
        <f t="shared" si="6"/>
        <v>SP - Guaiçara</v>
      </c>
      <c r="M83" s="478">
        <f>VLOOKUP(L83,'Res Nº5.290'!A:B,2,FALSE)</f>
        <v>0.47638888888888892</v>
      </c>
      <c r="N83" s="487">
        <f>(Tabela5[[#This Row],[Horas]]-INT(Tabela5[[#This Row],[Horas]]))*24</f>
        <v>11.433333333333334</v>
      </c>
      <c r="O83">
        <v>2.7</v>
      </c>
    </row>
    <row r="84" spans="1:15" x14ac:dyDescent="0.25">
      <c r="A84" t="s">
        <v>668</v>
      </c>
      <c r="B84" t="s">
        <v>495</v>
      </c>
      <c r="C84" t="s">
        <v>939</v>
      </c>
      <c r="D84" t="str">
        <f t="shared" si="5"/>
        <v>RS - Estrela Velha</v>
      </c>
      <c r="E84" s="482">
        <f>VLOOKUP(D84,'Res Nº5.290'!A:B,2,)</f>
        <v>0.47500000000000003</v>
      </c>
      <c r="F84" s="485">
        <f>(Tabela4[[#This Row],[Horas]]-INT(Tabela4[[#This Row],[Horas]]))*24</f>
        <v>11.4</v>
      </c>
      <c r="G84">
        <v>2.2999999999999998</v>
      </c>
      <c r="I84" t="s">
        <v>701</v>
      </c>
      <c r="J84" t="s">
        <v>500</v>
      </c>
      <c r="K84" t="s">
        <v>940</v>
      </c>
      <c r="L84" s="483" t="str">
        <f t="shared" si="6"/>
        <v>SP - Guaimbê</v>
      </c>
      <c r="M84" s="478">
        <f>VLOOKUP(L84,'Res Nº5.290'!A:B,2,FALSE)</f>
        <v>0.47638888888888892</v>
      </c>
      <c r="N84" s="487">
        <f>(Tabela5[[#This Row],[Horas]]-INT(Tabela5[[#This Row],[Horas]]))*24</f>
        <v>11.433333333333334</v>
      </c>
      <c r="O84">
        <v>2.7</v>
      </c>
    </row>
    <row r="85" spans="1:15" x14ac:dyDescent="0.25">
      <c r="A85" t="s">
        <v>668</v>
      </c>
      <c r="B85" t="s">
        <v>495</v>
      </c>
      <c r="C85" t="s">
        <v>941</v>
      </c>
      <c r="D85" t="str">
        <f t="shared" si="5"/>
        <v>RS - Eugênio de Castro</v>
      </c>
      <c r="E85" s="482">
        <f>VLOOKUP(D85,'Res Nº5.290'!A:B,2,)</f>
        <v>0.47500000000000003</v>
      </c>
      <c r="F85" s="485">
        <f>(Tabela4[[#This Row],[Horas]]-INT(Tabela4[[#This Row],[Horas]]))*24</f>
        <v>11.4</v>
      </c>
      <c r="G85">
        <v>2.2999999999999998</v>
      </c>
      <c r="I85" t="s">
        <v>701</v>
      </c>
      <c r="J85" t="s">
        <v>500</v>
      </c>
      <c r="K85" t="s">
        <v>942</v>
      </c>
      <c r="L85" s="483" t="str">
        <f t="shared" si="6"/>
        <v>SP - Guaíra</v>
      </c>
      <c r="M85" s="478">
        <f>VLOOKUP(L85,'Res Nº5.290'!A:B,2,FALSE)</f>
        <v>0.4770833333333333</v>
      </c>
      <c r="N85" s="487">
        <f>(Tabela5[[#This Row],[Horas]]-INT(Tabela5[[#This Row],[Horas]]))*24</f>
        <v>11.45</v>
      </c>
      <c r="O85">
        <v>2.7</v>
      </c>
    </row>
    <row r="86" spans="1:15" x14ac:dyDescent="0.25">
      <c r="A86" t="s">
        <v>668</v>
      </c>
      <c r="B86" t="s">
        <v>495</v>
      </c>
      <c r="C86" t="s">
        <v>943</v>
      </c>
      <c r="D86" t="str">
        <f t="shared" si="5"/>
        <v>RS - Fagundes Varela</v>
      </c>
      <c r="E86" s="482">
        <f>VLOOKUP(D86,'Res Nº5.290'!A:B,2,)</f>
        <v>0.47500000000000003</v>
      </c>
      <c r="F86" s="485">
        <f>(Tabela4[[#This Row],[Horas]]-INT(Tabela4[[#This Row],[Horas]]))*24</f>
        <v>11.4</v>
      </c>
      <c r="G86">
        <v>2.2999999999999998</v>
      </c>
      <c r="I86" t="s">
        <v>701</v>
      </c>
      <c r="J86" t="s">
        <v>500</v>
      </c>
      <c r="K86" t="s">
        <v>944</v>
      </c>
      <c r="L86" s="483" t="str">
        <f t="shared" si="6"/>
        <v>SP - Guapiaçu</v>
      </c>
      <c r="M86" s="478">
        <f>VLOOKUP(L86,'Res Nº5.290'!A:B,2,FALSE)</f>
        <v>0.4770833333333333</v>
      </c>
      <c r="N86" s="487">
        <f>(Tabela5[[#This Row],[Horas]]-INT(Tabela5[[#This Row],[Horas]]))*24</f>
        <v>11.45</v>
      </c>
      <c r="O86">
        <v>2.7</v>
      </c>
    </row>
    <row r="87" spans="1:15" x14ac:dyDescent="0.25">
      <c r="A87" t="s">
        <v>668</v>
      </c>
      <c r="B87" t="s">
        <v>495</v>
      </c>
      <c r="C87" t="s">
        <v>945</v>
      </c>
      <c r="D87" t="str">
        <f t="shared" si="5"/>
        <v>RS - Farroupilha</v>
      </c>
      <c r="E87" s="482">
        <f>VLOOKUP(D87,'Res Nº5.290'!A:B,2,)</f>
        <v>0.47500000000000003</v>
      </c>
      <c r="F87" s="485">
        <f>(Tabela4[[#This Row],[Horas]]-INT(Tabela4[[#This Row],[Horas]]))*24</f>
        <v>11.4</v>
      </c>
      <c r="G87">
        <v>2.2999999999999998</v>
      </c>
      <c r="I87" t="s">
        <v>701</v>
      </c>
      <c r="J87" t="s">
        <v>500</v>
      </c>
      <c r="K87" t="s">
        <v>946</v>
      </c>
      <c r="L87" s="483" t="str">
        <f t="shared" si="6"/>
        <v>SP - Guará</v>
      </c>
      <c r="M87" s="478">
        <f>VLOOKUP(L87,'Res Nº5.290'!A:B,2,FALSE)</f>
        <v>0.4770833333333333</v>
      </c>
      <c r="N87" s="487">
        <f>(Tabela5[[#This Row],[Horas]]-INT(Tabela5[[#This Row],[Horas]]))*24</f>
        <v>11.45</v>
      </c>
      <c r="O87">
        <v>2.7</v>
      </c>
    </row>
    <row r="88" spans="1:15" x14ac:dyDescent="0.25">
      <c r="A88" t="s">
        <v>668</v>
      </c>
      <c r="B88" t="s">
        <v>495</v>
      </c>
      <c r="C88" t="s">
        <v>947</v>
      </c>
      <c r="D88" t="str">
        <f t="shared" si="5"/>
        <v>RS - Faxinalzinho</v>
      </c>
      <c r="E88" s="482">
        <f>VLOOKUP(D88,'Res Nº5.290'!A:B,2,)</f>
        <v>0.47569444444444442</v>
      </c>
      <c r="F88" s="485">
        <f>(Tabela4[[#This Row],[Horas]]-INT(Tabela4[[#This Row],[Horas]]))*24</f>
        <v>11.416666666666666</v>
      </c>
      <c r="G88">
        <v>2.2999999999999998</v>
      </c>
      <c r="I88" t="s">
        <v>701</v>
      </c>
      <c r="J88" t="s">
        <v>500</v>
      </c>
      <c r="K88" t="s">
        <v>948</v>
      </c>
      <c r="L88" s="483" t="str">
        <f t="shared" si="6"/>
        <v>SP - Guaraci</v>
      </c>
      <c r="M88" s="478">
        <f>VLOOKUP(L88,'Res Nº5.290'!A:B,2,FALSE)</f>
        <v>0.4770833333333333</v>
      </c>
      <c r="N88" s="487">
        <f>(Tabela5[[#This Row],[Horas]]-INT(Tabela5[[#This Row],[Horas]]))*24</f>
        <v>11.45</v>
      </c>
      <c r="O88">
        <v>2.7</v>
      </c>
    </row>
    <row r="89" spans="1:15" x14ac:dyDescent="0.25">
      <c r="A89" t="s">
        <v>668</v>
      </c>
      <c r="B89" t="s">
        <v>495</v>
      </c>
      <c r="C89" t="s">
        <v>949</v>
      </c>
      <c r="D89" t="str">
        <f t="shared" si="5"/>
        <v>RS - Feliz</v>
      </c>
      <c r="E89" s="482">
        <f>VLOOKUP(D89,'Res Nº5.290'!A:B,2,)</f>
        <v>0.47500000000000003</v>
      </c>
      <c r="F89" s="485">
        <f>(Tabela4[[#This Row],[Horas]]-INT(Tabela4[[#This Row],[Horas]]))*24</f>
        <v>11.4</v>
      </c>
      <c r="G89">
        <v>2.2999999999999998</v>
      </c>
      <c r="I89" t="s">
        <v>701</v>
      </c>
      <c r="J89" t="s">
        <v>500</v>
      </c>
      <c r="K89" t="s">
        <v>950</v>
      </c>
      <c r="L89" s="483" t="str">
        <f t="shared" si="6"/>
        <v>SP - Guarantã</v>
      </c>
      <c r="M89" s="478">
        <f>VLOOKUP(L89,'Res Nº5.290'!A:B,2,FALSE)</f>
        <v>0.47638888888888892</v>
      </c>
      <c r="N89" s="487">
        <f>(Tabela5[[#This Row],[Horas]]-INT(Tabela5[[#This Row],[Horas]]))*24</f>
        <v>11.433333333333334</v>
      </c>
      <c r="O89">
        <v>2.7</v>
      </c>
    </row>
    <row r="90" spans="1:15" x14ac:dyDescent="0.25">
      <c r="A90" t="s">
        <v>668</v>
      </c>
      <c r="B90" t="s">
        <v>495</v>
      </c>
      <c r="C90" t="s">
        <v>951</v>
      </c>
      <c r="D90" t="str">
        <f t="shared" si="5"/>
        <v>RS - Flores da Cunha</v>
      </c>
      <c r="E90" s="482">
        <f>VLOOKUP(D90,'Res Nº5.290'!A:B,2,)</f>
        <v>0.47500000000000003</v>
      </c>
      <c r="F90" s="485">
        <f>(Tabela4[[#This Row],[Horas]]-INT(Tabela4[[#This Row],[Horas]]))*24</f>
        <v>11.4</v>
      </c>
      <c r="G90">
        <v>2.2999999999999998</v>
      </c>
      <c r="I90" t="s">
        <v>701</v>
      </c>
      <c r="J90" t="s">
        <v>500</v>
      </c>
      <c r="K90" t="s">
        <v>952</v>
      </c>
      <c r="L90" s="483" t="str">
        <f t="shared" si="6"/>
        <v>SP - Guararapes</v>
      </c>
      <c r="M90" s="478">
        <f>VLOOKUP(L90,'Res Nº5.290'!A:B,2,FALSE)</f>
        <v>0.47638888888888892</v>
      </c>
      <c r="N90" s="487">
        <f>(Tabela5[[#This Row],[Horas]]-INT(Tabela5[[#This Row],[Horas]]))*24</f>
        <v>11.433333333333334</v>
      </c>
      <c r="O90">
        <v>2.7</v>
      </c>
    </row>
    <row r="91" spans="1:15" x14ac:dyDescent="0.25">
      <c r="A91" t="s">
        <v>668</v>
      </c>
      <c r="B91" t="s">
        <v>495</v>
      </c>
      <c r="C91" t="s">
        <v>953</v>
      </c>
      <c r="D91" t="str">
        <f t="shared" si="5"/>
        <v>RS - Fortaleza dos Valos</v>
      </c>
      <c r="E91" s="482">
        <f>VLOOKUP(D91,'Res Nº5.290'!A:B,2,)</f>
        <v>0.47500000000000003</v>
      </c>
      <c r="F91" s="485">
        <f>(Tabela4[[#This Row],[Horas]]-INT(Tabela4[[#This Row],[Horas]]))*24</f>
        <v>11.4</v>
      </c>
      <c r="G91">
        <v>2.2999999999999998</v>
      </c>
      <c r="I91" t="s">
        <v>701</v>
      </c>
      <c r="J91" t="s">
        <v>500</v>
      </c>
      <c r="K91" t="s">
        <v>954</v>
      </c>
      <c r="L91" s="483" t="str">
        <f t="shared" si="6"/>
        <v>SP - Guariba</v>
      </c>
      <c r="M91" s="478">
        <f>VLOOKUP(L91,'Res Nº5.290'!A:B,2,FALSE)</f>
        <v>0.47638888888888892</v>
      </c>
      <c r="N91" s="487">
        <f>(Tabela5[[#This Row],[Horas]]-INT(Tabela5[[#This Row],[Horas]]))*24</f>
        <v>11.433333333333334</v>
      </c>
      <c r="O91">
        <v>2.7</v>
      </c>
    </row>
    <row r="92" spans="1:15" x14ac:dyDescent="0.25">
      <c r="A92" t="s">
        <v>668</v>
      </c>
      <c r="B92" t="s">
        <v>495</v>
      </c>
      <c r="C92" t="s">
        <v>955</v>
      </c>
      <c r="D92" t="str">
        <f t="shared" si="5"/>
        <v>RS - Frederico Westphalen</v>
      </c>
      <c r="E92" s="482">
        <f>VLOOKUP(D92,'Res Nº5.290'!A:B,2,)</f>
        <v>0.47569444444444442</v>
      </c>
      <c r="F92" s="485">
        <f>(Tabela4[[#This Row],[Horas]]-INT(Tabela4[[#This Row],[Horas]]))*24</f>
        <v>11.416666666666666</v>
      </c>
      <c r="G92">
        <v>2.2999999999999998</v>
      </c>
      <c r="I92" t="s">
        <v>701</v>
      </c>
      <c r="J92" t="s">
        <v>500</v>
      </c>
      <c r="K92" t="s">
        <v>956</v>
      </c>
      <c r="L92" s="483" t="str">
        <f t="shared" si="6"/>
        <v>SP - Guatapará</v>
      </c>
      <c r="M92" s="478">
        <f>VLOOKUP(L92,'Res Nº5.290'!A:B,2,FALSE)</f>
        <v>0.47638888888888892</v>
      </c>
      <c r="N92" s="487">
        <f>(Tabela5[[#This Row],[Horas]]-INT(Tabela5[[#This Row],[Horas]]))*24</f>
        <v>11.433333333333334</v>
      </c>
      <c r="O92">
        <v>2.7</v>
      </c>
    </row>
    <row r="93" spans="1:15" x14ac:dyDescent="0.25">
      <c r="A93" t="s">
        <v>668</v>
      </c>
      <c r="B93" t="s">
        <v>495</v>
      </c>
      <c r="C93" t="s">
        <v>957</v>
      </c>
      <c r="D93" t="str">
        <f t="shared" si="5"/>
        <v>RS - Garibaldi</v>
      </c>
      <c r="E93" s="482">
        <f>VLOOKUP(D93,'Res Nº5.290'!A:B,2,)</f>
        <v>0.47500000000000003</v>
      </c>
      <c r="F93" s="485">
        <f>(Tabela4[[#This Row],[Horas]]-INT(Tabela4[[#This Row],[Horas]]))*24</f>
        <v>11.4</v>
      </c>
      <c r="G93">
        <v>2.2999999999999998</v>
      </c>
      <c r="I93" t="s">
        <v>701</v>
      </c>
      <c r="J93" t="s">
        <v>500</v>
      </c>
      <c r="K93" t="s">
        <v>958</v>
      </c>
      <c r="L93" s="483" t="str">
        <f t="shared" si="6"/>
        <v>SP - Herculândia</v>
      </c>
      <c r="M93" s="478">
        <f>VLOOKUP(L93,'Res Nº5.290'!A:B,2,FALSE)</f>
        <v>0.47638888888888892</v>
      </c>
      <c r="N93" s="487">
        <f>(Tabela5[[#This Row],[Horas]]-INT(Tabela5[[#This Row],[Horas]]))*24</f>
        <v>11.433333333333334</v>
      </c>
      <c r="O93">
        <v>2.7</v>
      </c>
    </row>
    <row r="94" spans="1:15" x14ac:dyDescent="0.25">
      <c r="A94" t="s">
        <v>668</v>
      </c>
      <c r="B94" t="s">
        <v>495</v>
      </c>
      <c r="C94" t="s">
        <v>959</v>
      </c>
      <c r="D94" t="str">
        <f t="shared" si="5"/>
        <v>RS - Gaurama</v>
      </c>
      <c r="E94" s="482">
        <f>VLOOKUP(D94,'Res Nº5.290'!A:B,2,)</f>
        <v>0.47500000000000003</v>
      </c>
      <c r="F94" s="485">
        <f>(Tabela4[[#This Row],[Horas]]-INT(Tabela4[[#This Row],[Horas]]))*24</f>
        <v>11.4</v>
      </c>
      <c r="G94">
        <v>2.2999999999999998</v>
      </c>
      <c r="I94" t="s">
        <v>701</v>
      </c>
      <c r="J94" t="s">
        <v>500</v>
      </c>
      <c r="K94" t="s">
        <v>960</v>
      </c>
      <c r="L94" s="483" t="str">
        <f t="shared" si="6"/>
        <v>SP - Hortolândia</v>
      </c>
      <c r="M94" s="478">
        <f>VLOOKUP(L94,'Res Nº5.290'!A:B,2,FALSE)</f>
        <v>0.47638888888888892</v>
      </c>
      <c r="N94" s="487">
        <f>(Tabela5[[#This Row],[Horas]]-INT(Tabela5[[#This Row],[Horas]]))*24</f>
        <v>11.433333333333334</v>
      </c>
      <c r="O94">
        <v>2.7</v>
      </c>
    </row>
    <row r="95" spans="1:15" x14ac:dyDescent="0.25">
      <c r="A95" t="s">
        <v>668</v>
      </c>
      <c r="B95" t="s">
        <v>495</v>
      </c>
      <c r="C95" t="s">
        <v>961</v>
      </c>
      <c r="D95" t="str">
        <f t="shared" si="5"/>
        <v>RS - Gentil</v>
      </c>
      <c r="E95" s="482">
        <f>VLOOKUP(D95,'Res Nº5.290'!A:B,2,)</f>
        <v>0.47500000000000003</v>
      </c>
      <c r="F95" s="485">
        <f>(Tabela4[[#This Row],[Horas]]-INT(Tabela4[[#This Row],[Horas]]))*24</f>
        <v>11.4</v>
      </c>
      <c r="G95">
        <v>2.2999999999999998</v>
      </c>
      <c r="I95" t="s">
        <v>701</v>
      </c>
      <c r="J95" t="s">
        <v>500</v>
      </c>
      <c r="K95" t="s">
        <v>962</v>
      </c>
      <c r="L95" s="483" t="str">
        <f t="shared" si="6"/>
        <v>SP - Iacanga</v>
      </c>
      <c r="M95" s="478">
        <f>VLOOKUP(L95,'Res Nº5.290'!A:B,2,FALSE)</f>
        <v>0.47638888888888892</v>
      </c>
      <c r="N95" s="487">
        <f>(Tabela5[[#This Row],[Horas]]-INT(Tabela5[[#This Row],[Horas]]))*24</f>
        <v>11.433333333333334</v>
      </c>
      <c r="O95">
        <v>2.7</v>
      </c>
    </row>
    <row r="96" spans="1:15" x14ac:dyDescent="0.25">
      <c r="A96" t="s">
        <v>668</v>
      </c>
      <c r="B96" t="s">
        <v>495</v>
      </c>
      <c r="C96" t="s">
        <v>963</v>
      </c>
      <c r="D96" t="str">
        <f t="shared" si="5"/>
        <v>RS - Getúlio Vargas</v>
      </c>
      <c r="E96" s="482">
        <f>VLOOKUP(D96,'Res Nº5.290'!A:B,2,)</f>
        <v>0.47500000000000003</v>
      </c>
      <c r="F96" s="485">
        <f>(Tabela4[[#This Row],[Horas]]-INT(Tabela4[[#This Row],[Horas]]))*24</f>
        <v>11.4</v>
      </c>
      <c r="G96">
        <v>2.2999999999999998</v>
      </c>
      <c r="I96" t="s">
        <v>701</v>
      </c>
      <c r="J96" t="s">
        <v>500</v>
      </c>
      <c r="K96" t="s">
        <v>964</v>
      </c>
      <c r="L96" s="483" t="str">
        <f t="shared" si="6"/>
        <v>SP - Ibaté</v>
      </c>
      <c r="M96" s="478">
        <f>VLOOKUP(L96,'Res Nº5.290'!A:B,2,FALSE)</f>
        <v>0.47638888888888892</v>
      </c>
      <c r="N96" s="487">
        <f>(Tabela5[[#This Row],[Horas]]-INT(Tabela5[[#This Row],[Horas]]))*24</f>
        <v>11.433333333333334</v>
      </c>
      <c r="O96">
        <v>2.7</v>
      </c>
    </row>
    <row r="97" spans="1:15" x14ac:dyDescent="0.25">
      <c r="A97" t="s">
        <v>668</v>
      </c>
      <c r="B97" t="s">
        <v>495</v>
      </c>
      <c r="C97" t="s">
        <v>965</v>
      </c>
      <c r="D97" t="str">
        <f t="shared" si="5"/>
        <v>RS - Giruá</v>
      </c>
      <c r="E97" s="482">
        <f>VLOOKUP(D97,'Res Nº5.290'!A:B,2,)</f>
        <v>0.47500000000000003</v>
      </c>
      <c r="F97" s="485">
        <f>(Tabela4[[#This Row],[Horas]]-INT(Tabela4[[#This Row],[Horas]]))*24</f>
        <v>11.4</v>
      </c>
      <c r="G97">
        <v>2.2999999999999998</v>
      </c>
      <c r="I97" t="s">
        <v>701</v>
      </c>
      <c r="J97" t="s">
        <v>500</v>
      </c>
      <c r="K97" t="s">
        <v>966</v>
      </c>
      <c r="L97" s="483" t="str">
        <f t="shared" si="6"/>
        <v>SP - Ibirá</v>
      </c>
      <c r="M97" s="478">
        <f>VLOOKUP(L97,'Res Nº5.290'!A:B,2,FALSE)</f>
        <v>0.47638888888888892</v>
      </c>
      <c r="N97" s="487">
        <f>(Tabela5[[#This Row],[Horas]]-INT(Tabela5[[#This Row],[Horas]]))*24</f>
        <v>11.433333333333334</v>
      </c>
      <c r="O97">
        <v>2.7</v>
      </c>
    </row>
    <row r="98" spans="1:15" x14ac:dyDescent="0.25">
      <c r="A98" t="s">
        <v>668</v>
      </c>
      <c r="B98" t="s">
        <v>495</v>
      </c>
      <c r="C98" t="s">
        <v>967</v>
      </c>
      <c r="D98" t="str">
        <f t="shared" si="5"/>
        <v>RS - Glorinha</v>
      </c>
      <c r="E98" s="482">
        <f>VLOOKUP(D98,'Res Nº5.290'!A:B,2,)</f>
        <v>0.47500000000000003</v>
      </c>
      <c r="F98" s="485">
        <f>(Tabela4[[#This Row],[Horas]]-INT(Tabela4[[#This Row],[Horas]]))*24</f>
        <v>11.4</v>
      </c>
      <c r="G98">
        <v>2.2999999999999998</v>
      </c>
      <c r="I98" t="s">
        <v>701</v>
      </c>
      <c r="J98" t="s">
        <v>500</v>
      </c>
      <c r="K98" t="s">
        <v>968</v>
      </c>
      <c r="L98" s="483" t="str">
        <f t="shared" si="6"/>
        <v>SP - Ibitinga</v>
      </c>
      <c r="M98" s="478">
        <f>VLOOKUP(L98,'Res Nº5.290'!A:B,2,FALSE)</f>
        <v>0.47638888888888892</v>
      </c>
      <c r="N98" s="487">
        <f>(Tabela5[[#This Row],[Horas]]-INT(Tabela5[[#This Row],[Horas]]))*24</f>
        <v>11.433333333333334</v>
      </c>
      <c r="O98">
        <v>2.7</v>
      </c>
    </row>
    <row r="99" spans="1:15" x14ac:dyDescent="0.25">
      <c r="A99" t="s">
        <v>668</v>
      </c>
      <c r="B99" t="s">
        <v>495</v>
      </c>
      <c r="C99" t="s">
        <v>969</v>
      </c>
      <c r="D99" t="str">
        <f t="shared" si="5"/>
        <v>RS - Gramado</v>
      </c>
      <c r="E99" s="482">
        <f>VLOOKUP(D99,'Res Nº5.290'!A:B,2,)</f>
        <v>0.47500000000000003</v>
      </c>
      <c r="F99" s="485">
        <f>(Tabela4[[#This Row],[Horas]]-INT(Tabela4[[#This Row],[Horas]]))*24</f>
        <v>11.4</v>
      </c>
      <c r="G99">
        <v>2.2999999999999998</v>
      </c>
      <c r="I99" t="s">
        <v>701</v>
      </c>
      <c r="J99" t="s">
        <v>500</v>
      </c>
      <c r="K99" t="s">
        <v>970</v>
      </c>
      <c r="L99" s="483" t="str">
        <f t="shared" si="6"/>
        <v>SP - Icém</v>
      </c>
      <c r="M99" s="478">
        <f>VLOOKUP(L99,'Res Nº5.290'!A:B,2,FALSE)</f>
        <v>0.4770833333333333</v>
      </c>
      <c r="N99" s="487">
        <f>(Tabela5[[#This Row],[Horas]]-INT(Tabela5[[#This Row],[Horas]]))*24</f>
        <v>11.45</v>
      </c>
      <c r="O99">
        <v>2.7</v>
      </c>
    </row>
    <row r="100" spans="1:15" x14ac:dyDescent="0.25">
      <c r="A100" t="s">
        <v>668</v>
      </c>
      <c r="B100" t="s">
        <v>495</v>
      </c>
      <c r="C100" t="s">
        <v>971</v>
      </c>
      <c r="D100" t="str">
        <f t="shared" si="5"/>
        <v>RS - Gramado dos Loureiros</v>
      </c>
      <c r="E100" s="482">
        <f>VLOOKUP(D100,'Res Nº5.290'!A:B,2,)</f>
        <v>0.47569444444444442</v>
      </c>
      <c r="F100" s="485">
        <f>(Tabela4[[#This Row],[Horas]]-INT(Tabela4[[#This Row],[Horas]]))*24</f>
        <v>11.416666666666666</v>
      </c>
      <c r="G100">
        <v>2.2999999999999998</v>
      </c>
      <c r="I100" t="s">
        <v>701</v>
      </c>
      <c r="J100" t="s">
        <v>500</v>
      </c>
      <c r="K100" t="s">
        <v>972</v>
      </c>
      <c r="L100" s="483" t="str">
        <f t="shared" si="6"/>
        <v>SP - Igaraçu do Tietê</v>
      </c>
      <c r="M100" s="478">
        <f>VLOOKUP(L100,'Res Nº5.290'!A:B,2,FALSE)</f>
        <v>0.47638888888888892</v>
      </c>
      <c r="N100" s="487">
        <f>(Tabela5[[#This Row],[Horas]]-INT(Tabela5[[#This Row],[Horas]]))*24</f>
        <v>11.433333333333334</v>
      </c>
      <c r="O100">
        <v>2.7</v>
      </c>
    </row>
    <row r="101" spans="1:15" x14ac:dyDescent="0.25">
      <c r="A101" t="s">
        <v>668</v>
      </c>
      <c r="B101" t="s">
        <v>495</v>
      </c>
      <c r="C101" t="s">
        <v>973</v>
      </c>
      <c r="D101" t="str">
        <f t="shared" si="5"/>
        <v>RS - Gravataí</v>
      </c>
      <c r="E101" s="482">
        <f>VLOOKUP(D101,'Res Nº5.290'!A:B,2,)</f>
        <v>0.47500000000000003</v>
      </c>
      <c r="F101" s="485">
        <f>(Tabela4[[#This Row],[Horas]]-INT(Tabela4[[#This Row],[Horas]]))*24</f>
        <v>11.4</v>
      </c>
      <c r="G101">
        <v>2.2999999999999998</v>
      </c>
      <c r="I101" t="s">
        <v>701</v>
      </c>
      <c r="J101" t="s">
        <v>500</v>
      </c>
      <c r="K101" t="s">
        <v>974</v>
      </c>
      <c r="L101" s="483" t="str">
        <f t="shared" si="6"/>
        <v>SP - Igarapava</v>
      </c>
      <c r="M101" s="478">
        <f>VLOOKUP(L101,'Res Nº5.290'!A:B,2,FALSE)</f>
        <v>0.4770833333333333</v>
      </c>
      <c r="N101" s="487">
        <f>(Tabela5[[#This Row],[Horas]]-INT(Tabela5[[#This Row],[Horas]]))*24</f>
        <v>11.45</v>
      </c>
      <c r="O101">
        <v>2.7</v>
      </c>
    </row>
    <row r="102" spans="1:15" x14ac:dyDescent="0.25">
      <c r="A102" t="s">
        <v>668</v>
      </c>
      <c r="B102" t="s">
        <v>495</v>
      </c>
      <c r="C102" t="s">
        <v>975</v>
      </c>
      <c r="D102" t="str">
        <f t="shared" si="5"/>
        <v>RS - Guabiju</v>
      </c>
      <c r="E102" s="482">
        <f>VLOOKUP(D102,'Res Nº5.290'!A:B,2,)</f>
        <v>0.47500000000000003</v>
      </c>
      <c r="F102" s="485">
        <f>(Tabela4[[#This Row],[Horas]]-INT(Tabela4[[#This Row],[Horas]]))*24</f>
        <v>11.4</v>
      </c>
      <c r="G102">
        <v>2.2999999999999998</v>
      </c>
      <c r="I102" t="s">
        <v>701</v>
      </c>
      <c r="J102" t="s">
        <v>500</v>
      </c>
      <c r="K102" t="s">
        <v>976</v>
      </c>
      <c r="L102" s="483" t="str">
        <f t="shared" si="6"/>
        <v>SP - Ipiguá</v>
      </c>
      <c r="M102" s="478">
        <f>VLOOKUP(L102,'Res Nº5.290'!A:B,2,FALSE)</f>
        <v>0.4770833333333333</v>
      </c>
      <c r="N102" s="487">
        <f>(Tabela5[[#This Row],[Horas]]-INT(Tabela5[[#This Row],[Horas]]))*24</f>
        <v>11.45</v>
      </c>
      <c r="O102">
        <v>2.7</v>
      </c>
    </row>
    <row r="103" spans="1:15" x14ac:dyDescent="0.25">
      <c r="A103" t="s">
        <v>668</v>
      </c>
      <c r="B103" t="s">
        <v>495</v>
      </c>
      <c r="C103" t="s">
        <v>977</v>
      </c>
      <c r="D103" t="str">
        <f t="shared" si="5"/>
        <v>RS - Guaporé</v>
      </c>
      <c r="E103" s="482">
        <f>VLOOKUP(D103,'Res Nº5.290'!A:B,2,)</f>
        <v>0.47500000000000003</v>
      </c>
      <c r="F103" s="485">
        <f>(Tabela4[[#This Row],[Horas]]-INT(Tabela4[[#This Row],[Horas]]))*24</f>
        <v>11.4</v>
      </c>
      <c r="G103">
        <v>2.2999999999999998</v>
      </c>
      <c r="I103" t="s">
        <v>701</v>
      </c>
      <c r="J103" t="s">
        <v>500</v>
      </c>
      <c r="K103" t="s">
        <v>978</v>
      </c>
      <c r="L103" s="483" t="str">
        <f t="shared" si="6"/>
        <v>SP - Ipuã</v>
      </c>
      <c r="M103" s="478">
        <f>VLOOKUP(L103,'Res Nº5.290'!A:B,2,FALSE)</f>
        <v>0.4770833333333333</v>
      </c>
      <c r="N103" s="487">
        <f>(Tabela5[[#This Row],[Horas]]-INT(Tabela5[[#This Row],[Horas]]))*24</f>
        <v>11.45</v>
      </c>
      <c r="O103">
        <v>2.7</v>
      </c>
    </row>
    <row r="104" spans="1:15" x14ac:dyDescent="0.25">
      <c r="A104" t="s">
        <v>668</v>
      </c>
      <c r="B104" t="s">
        <v>495</v>
      </c>
      <c r="C104" t="s">
        <v>979</v>
      </c>
      <c r="D104" t="str">
        <f t="shared" si="5"/>
        <v>RS - Guarani das Missões</v>
      </c>
      <c r="E104" s="482">
        <f>VLOOKUP(D104,'Res Nº5.290'!A:B,2,)</f>
        <v>0.47500000000000003</v>
      </c>
      <c r="F104" s="485">
        <f>(Tabela4[[#This Row],[Horas]]-INT(Tabela4[[#This Row],[Horas]]))*24</f>
        <v>11.4</v>
      </c>
      <c r="G104">
        <v>2.2999999999999998</v>
      </c>
      <c r="I104" t="s">
        <v>701</v>
      </c>
      <c r="J104" t="s">
        <v>500</v>
      </c>
      <c r="K104" t="s">
        <v>980</v>
      </c>
      <c r="L104" s="483" t="str">
        <f t="shared" si="6"/>
        <v>SP - Itaju</v>
      </c>
      <c r="M104" s="478">
        <f>VLOOKUP(L104,'Res Nº5.290'!A:B,2,FALSE)</f>
        <v>0.47638888888888892</v>
      </c>
      <c r="N104" s="487">
        <f>(Tabela5[[#This Row],[Horas]]-INT(Tabela5[[#This Row],[Horas]]))*24</f>
        <v>11.433333333333334</v>
      </c>
      <c r="O104">
        <v>2.7</v>
      </c>
    </row>
    <row r="105" spans="1:15" x14ac:dyDescent="0.25">
      <c r="A105" t="s">
        <v>668</v>
      </c>
      <c r="B105" t="s">
        <v>495</v>
      </c>
      <c r="C105" t="s">
        <v>981</v>
      </c>
      <c r="D105" t="str">
        <f t="shared" si="5"/>
        <v>RS - Horizontina</v>
      </c>
      <c r="E105" s="482">
        <f>VLOOKUP(D105,'Res Nº5.290'!A:B,2,)</f>
        <v>0.47500000000000003</v>
      </c>
      <c r="F105" s="485">
        <f>(Tabela4[[#This Row],[Horas]]-INT(Tabela4[[#This Row],[Horas]]))*24</f>
        <v>11.4</v>
      </c>
      <c r="G105">
        <v>2.2999999999999998</v>
      </c>
      <c r="I105" t="s">
        <v>701</v>
      </c>
      <c r="J105" t="s">
        <v>500</v>
      </c>
      <c r="K105" t="s">
        <v>982</v>
      </c>
      <c r="L105" s="483" t="str">
        <f t="shared" si="6"/>
        <v>SP - Itapira</v>
      </c>
      <c r="M105" s="478">
        <f>VLOOKUP(L105,'Res Nº5.290'!A:B,2,FALSE)</f>
        <v>0.47638888888888892</v>
      </c>
      <c r="N105" s="487">
        <f>(Tabela5[[#This Row],[Horas]]-INT(Tabela5[[#This Row],[Horas]]))*24</f>
        <v>11.433333333333334</v>
      </c>
      <c r="O105">
        <v>2.7</v>
      </c>
    </row>
    <row r="106" spans="1:15" x14ac:dyDescent="0.25">
      <c r="A106" t="s">
        <v>668</v>
      </c>
      <c r="B106" t="s">
        <v>495</v>
      </c>
      <c r="C106" t="s">
        <v>983</v>
      </c>
      <c r="D106" t="str">
        <f t="shared" si="5"/>
        <v>RS - Humaitá</v>
      </c>
      <c r="E106" s="482">
        <f>VLOOKUP(D106,'Res Nº5.290'!A:B,2,)</f>
        <v>0.47500000000000003</v>
      </c>
      <c r="F106" s="485">
        <f>(Tabela4[[#This Row],[Horas]]-INT(Tabela4[[#This Row],[Horas]]))*24</f>
        <v>11.4</v>
      </c>
      <c r="G106">
        <v>2.2999999999999998</v>
      </c>
      <c r="I106" t="s">
        <v>701</v>
      </c>
      <c r="J106" t="s">
        <v>500</v>
      </c>
      <c r="K106" t="s">
        <v>984</v>
      </c>
      <c r="L106" s="483" t="str">
        <f t="shared" si="6"/>
        <v>SP - Itápolis</v>
      </c>
      <c r="M106" s="478">
        <f>VLOOKUP(L106,'Res Nº5.290'!A:B,2,FALSE)</f>
        <v>0.47638888888888892</v>
      </c>
      <c r="N106" s="487">
        <f>(Tabela5[[#This Row],[Horas]]-INT(Tabela5[[#This Row],[Horas]]))*24</f>
        <v>11.433333333333334</v>
      </c>
      <c r="O106">
        <v>2.7</v>
      </c>
    </row>
    <row r="107" spans="1:15" x14ac:dyDescent="0.25">
      <c r="A107" t="s">
        <v>668</v>
      </c>
      <c r="B107" t="s">
        <v>495</v>
      </c>
      <c r="C107" t="s">
        <v>985</v>
      </c>
      <c r="D107" t="str">
        <f t="shared" si="5"/>
        <v>RS - Ibiraiaras</v>
      </c>
      <c r="E107" s="482">
        <f>VLOOKUP(D107,'Res Nº5.290'!A:B,2,)</f>
        <v>0.47500000000000003</v>
      </c>
      <c r="F107" s="485">
        <f>(Tabela4[[#This Row],[Horas]]-INT(Tabela4[[#This Row],[Horas]]))*24</f>
        <v>11.4</v>
      </c>
      <c r="G107">
        <v>2.2999999999999998</v>
      </c>
      <c r="I107" t="s">
        <v>701</v>
      </c>
      <c r="J107" t="s">
        <v>500</v>
      </c>
      <c r="K107" t="s">
        <v>986</v>
      </c>
      <c r="L107" s="483" t="str">
        <f t="shared" si="6"/>
        <v>SP - Itapuí</v>
      </c>
      <c r="M107" s="478">
        <f>VLOOKUP(L107,'Res Nº5.290'!A:B,2,FALSE)</f>
        <v>0.47638888888888892</v>
      </c>
      <c r="N107" s="487">
        <f>(Tabela5[[#This Row],[Horas]]-INT(Tabela5[[#This Row],[Horas]]))*24</f>
        <v>11.433333333333334</v>
      </c>
      <c r="O107">
        <v>2.7</v>
      </c>
    </row>
    <row r="108" spans="1:15" x14ac:dyDescent="0.25">
      <c r="A108" t="s">
        <v>668</v>
      </c>
      <c r="B108" t="s">
        <v>495</v>
      </c>
      <c r="C108" t="s">
        <v>987</v>
      </c>
      <c r="D108" t="str">
        <f t="shared" si="5"/>
        <v>RS - Ibirapuitã</v>
      </c>
      <c r="E108" s="482">
        <f>VLOOKUP(D108,'Res Nº5.290'!A:B,2,)</f>
        <v>0.47500000000000003</v>
      </c>
      <c r="F108" s="485">
        <f>(Tabela4[[#This Row],[Horas]]-INT(Tabela4[[#This Row],[Horas]]))*24</f>
        <v>11.4</v>
      </c>
      <c r="G108">
        <v>2.2999999999999998</v>
      </c>
      <c r="I108" t="s">
        <v>701</v>
      </c>
      <c r="J108" t="s">
        <v>500</v>
      </c>
      <c r="K108" t="s">
        <v>988</v>
      </c>
      <c r="L108" s="483" t="str">
        <f t="shared" si="6"/>
        <v>SP - Itatiba</v>
      </c>
      <c r="M108" s="478">
        <f>VLOOKUP(L108,'Res Nº5.290'!A:B,2,FALSE)</f>
        <v>0.47638888888888892</v>
      </c>
      <c r="N108" s="487">
        <f>(Tabela5[[#This Row],[Horas]]-INT(Tabela5[[#This Row],[Horas]]))*24</f>
        <v>11.433333333333334</v>
      </c>
      <c r="O108">
        <v>2.7</v>
      </c>
    </row>
    <row r="109" spans="1:15" x14ac:dyDescent="0.25">
      <c r="A109" t="s">
        <v>668</v>
      </c>
      <c r="B109" t="s">
        <v>495</v>
      </c>
      <c r="C109" t="s">
        <v>989</v>
      </c>
      <c r="D109" t="str">
        <f t="shared" si="5"/>
        <v>RS - Ibirubá</v>
      </c>
      <c r="E109" s="482">
        <f>VLOOKUP(D109,'Res Nº5.290'!A:B,2,)</f>
        <v>0.47500000000000003</v>
      </c>
      <c r="F109" s="485">
        <f>(Tabela4[[#This Row],[Horas]]-INT(Tabela4[[#This Row],[Horas]]))*24</f>
        <v>11.4</v>
      </c>
      <c r="G109">
        <v>2.2999999999999998</v>
      </c>
      <c r="I109" t="s">
        <v>701</v>
      </c>
      <c r="J109" t="s">
        <v>500</v>
      </c>
      <c r="K109" t="s">
        <v>990</v>
      </c>
      <c r="L109" s="483" t="str">
        <f t="shared" si="6"/>
        <v>SP - Itatinga</v>
      </c>
      <c r="M109" s="478">
        <f>VLOOKUP(L109,'Res Nº5.290'!A:B,2,FALSE)</f>
        <v>0.47638888888888892</v>
      </c>
      <c r="N109" s="487">
        <f>(Tabela5[[#This Row],[Horas]]-INT(Tabela5[[#This Row],[Horas]]))*24</f>
        <v>11.433333333333334</v>
      </c>
      <c r="O109">
        <v>2.7</v>
      </c>
    </row>
    <row r="110" spans="1:15" x14ac:dyDescent="0.25">
      <c r="A110" t="s">
        <v>668</v>
      </c>
      <c r="B110" t="s">
        <v>495</v>
      </c>
      <c r="C110" t="s">
        <v>991</v>
      </c>
      <c r="D110" t="str">
        <f t="shared" si="5"/>
        <v>RS - Igrejinha</v>
      </c>
      <c r="E110" s="482">
        <f>VLOOKUP(D110,'Res Nº5.290'!A:B,2,)</f>
        <v>0.47500000000000003</v>
      </c>
      <c r="F110" s="485">
        <f>(Tabela4[[#This Row],[Horas]]-INT(Tabela4[[#This Row],[Horas]]))*24</f>
        <v>11.4</v>
      </c>
      <c r="G110">
        <v>2.2999999999999998</v>
      </c>
      <c r="I110" t="s">
        <v>701</v>
      </c>
      <c r="J110" t="s">
        <v>500</v>
      </c>
      <c r="K110" t="s">
        <v>992</v>
      </c>
      <c r="L110" s="483" t="str">
        <f t="shared" si="6"/>
        <v>SP - Itirapuã</v>
      </c>
      <c r="M110" s="478">
        <f>VLOOKUP(L110,'Res Nº5.290'!A:B,2,FALSE)</f>
        <v>0.4770833333333333</v>
      </c>
      <c r="N110" s="487">
        <f>(Tabela5[[#This Row],[Horas]]-INT(Tabela5[[#This Row],[Horas]]))*24</f>
        <v>11.45</v>
      </c>
      <c r="O110">
        <v>2.7</v>
      </c>
    </row>
    <row r="111" spans="1:15" x14ac:dyDescent="0.25">
      <c r="A111" t="s">
        <v>668</v>
      </c>
      <c r="B111" t="s">
        <v>495</v>
      </c>
      <c r="C111" t="s">
        <v>993</v>
      </c>
      <c r="D111" t="str">
        <f t="shared" si="5"/>
        <v>RS - Ijuí</v>
      </c>
      <c r="E111" s="482">
        <f>VLOOKUP(D111,'Res Nº5.290'!A:B,2,)</f>
        <v>0.47500000000000003</v>
      </c>
      <c r="F111" s="485">
        <f>(Tabela4[[#This Row],[Horas]]-INT(Tabela4[[#This Row],[Horas]]))*24</f>
        <v>11.4</v>
      </c>
      <c r="G111">
        <v>2.2999999999999998</v>
      </c>
      <c r="I111" t="s">
        <v>701</v>
      </c>
      <c r="J111" t="s">
        <v>500</v>
      </c>
      <c r="K111" t="s">
        <v>994</v>
      </c>
      <c r="L111" s="483" t="str">
        <f t="shared" si="6"/>
        <v>SP - Ituverava</v>
      </c>
      <c r="M111" s="478">
        <f>VLOOKUP(L111,'Res Nº5.290'!A:B,2,FALSE)</f>
        <v>0.4770833333333333</v>
      </c>
      <c r="N111" s="487">
        <f>(Tabela5[[#This Row],[Horas]]-INT(Tabela5[[#This Row],[Horas]]))*24</f>
        <v>11.45</v>
      </c>
      <c r="O111">
        <v>2.7</v>
      </c>
    </row>
    <row r="112" spans="1:15" x14ac:dyDescent="0.25">
      <c r="A112" t="s">
        <v>668</v>
      </c>
      <c r="B112" t="s">
        <v>495</v>
      </c>
      <c r="C112" t="s">
        <v>995</v>
      </c>
      <c r="D112" t="str">
        <f t="shared" si="5"/>
        <v>RS - Ilópolis</v>
      </c>
      <c r="E112" s="482">
        <f>VLOOKUP(D112,'Res Nº5.290'!A:B,2,)</f>
        <v>0.47500000000000003</v>
      </c>
      <c r="F112" s="485">
        <f>(Tabela4[[#This Row],[Horas]]-INT(Tabela4[[#This Row],[Horas]]))*24</f>
        <v>11.4</v>
      </c>
      <c r="G112">
        <v>2.2999999999999998</v>
      </c>
      <c r="I112" t="s">
        <v>701</v>
      </c>
      <c r="J112" t="s">
        <v>500</v>
      </c>
      <c r="K112" t="s">
        <v>996</v>
      </c>
      <c r="L112" s="483" t="str">
        <f t="shared" si="6"/>
        <v>SP - Jaborandi</v>
      </c>
      <c r="M112" s="478">
        <f>VLOOKUP(L112,'Res Nº5.290'!A:B,2,FALSE)</f>
        <v>0.4770833333333333</v>
      </c>
      <c r="N112" s="487">
        <f>(Tabela5[[#This Row],[Horas]]-INT(Tabela5[[#This Row],[Horas]]))*24</f>
        <v>11.45</v>
      </c>
      <c r="O112">
        <v>2.7</v>
      </c>
    </row>
    <row r="113" spans="1:15" x14ac:dyDescent="0.25">
      <c r="A113" t="s">
        <v>668</v>
      </c>
      <c r="B113" t="s">
        <v>495</v>
      </c>
      <c r="C113" t="s">
        <v>997</v>
      </c>
      <c r="D113" t="str">
        <f t="shared" si="5"/>
        <v>RS - Independência</v>
      </c>
      <c r="E113" s="482">
        <f>VLOOKUP(D113,'Res Nº5.290'!A:B,2,)</f>
        <v>0.47500000000000003</v>
      </c>
      <c r="F113" s="485">
        <f>(Tabela4[[#This Row],[Horas]]-INT(Tabela4[[#This Row],[Horas]]))*24</f>
        <v>11.4</v>
      </c>
      <c r="G113">
        <v>2.2999999999999998</v>
      </c>
      <c r="I113" t="s">
        <v>701</v>
      </c>
      <c r="J113" t="s">
        <v>500</v>
      </c>
      <c r="K113" t="s">
        <v>998</v>
      </c>
      <c r="L113" s="483" t="str">
        <f t="shared" si="6"/>
        <v>SP - Jaboticabal</v>
      </c>
      <c r="M113" s="478">
        <f>VLOOKUP(L113,'Res Nº5.290'!A:B,2,FALSE)</f>
        <v>0.47638888888888892</v>
      </c>
      <c r="N113" s="487">
        <f>(Tabela5[[#This Row],[Horas]]-INT(Tabela5[[#This Row],[Horas]]))*24</f>
        <v>11.433333333333334</v>
      </c>
      <c r="O113">
        <v>2.7</v>
      </c>
    </row>
    <row r="114" spans="1:15" x14ac:dyDescent="0.25">
      <c r="A114" t="s">
        <v>668</v>
      </c>
      <c r="B114" t="s">
        <v>495</v>
      </c>
      <c r="C114" t="s">
        <v>999</v>
      </c>
      <c r="D114" t="str">
        <f t="shared" si="5"/>
        <v>RS - Inhacorá</v>
      </c>
      <c r="E114" s="482">
        <f>VLOOKUP(D114,'Res Nº5.290'!A:B,2,)</f>
        <v>0.47500000000000003</v>
      </c>
      <c r="F114" s="485">
        <f>(Tabela4[[#This Row],[Horas]]-INT(Tabela4[[#This Row],[Horas]]))*24</f>
        <v>11.4</v>
      </c>
      <c r="G114">
        <v>2.2999999999999998</v>
      </c>
      <c r="I114" t="s">
        <v>701</v>
      </c>
      <c r="J114" t="s">
        <v>500</v>
      </c>
      <c r="K114" t="s">
        <v>1000</v>
      </c>
      <c r="L114" s="483" t="str">
        <f t="shared" si="6"/>
        <v>SP - Jaci</v>
      </c>
      <c r="M114" s="478">
        <f>VLOOKUP(L114,'Res Nº5.290'!A:B,2,FALSE)</f>
        <v>0.47638888888888892</v>
      </c>
      <c r="N114" s="487">
        <f>(Tabela5[[#This Row],[Horas]]-INT(Tabela5[[#This Row],[Horas]]))*24</f>
        <v>11.433333333333334</v>
      </c>
      <c r="O114">
        <v>2.7</v>
      </c>
    </row>
    <row r="115" spans="1:15" x14ac:dyDescent="0.25">
      <c r="A115" t="s">
        <v>668</v>
      </c>
      <c r="B115" t="s">
        <v>495</v>
      </c>
      <c r="C115" t="s">
        <v>1001</v>
      </c>
      <c r="D115" t="str">
        <f t="shared" si="5"/>
        <v>RS - Ipê</v>
      </c>
      <c r="E115" s="482">
        <f>VLOOKUP(D115,'Res Nº5.290'!A:B,2,)</f>
        <v>0.47500000000000003</v>
      </c>
      <c r="F115" s="485">
        <f>(Tabela4[[#This Row],[Horas]]-INT(Tabela4[[#This Row],[Horas]]))*24</f>
        <v>11.4</v>
      </c>
      <c r="G115">
        <v>2.2999999999999998</v>
      </c>
      <c r="I115" t="s">
        <v>701</v>
      </c>
      <c r="J115" t="s">
        <v>500</v>
      </c>
      <c r="K115" t="s">
        <v>1002</v>
      </c>
      <c r="L115" s="483" t="str">
        <f t="shared" si="6"/>
        <v>SP - Jardinópolis</v>
      </c>
      <c r="M115" s="478">
        <f>VLOOKUP(L115,'Res Nº5.290'!A:B,2,FALSE)</f>
        <v>0.47638888888888892</v>
      </c>
      <c r="N115" s="487">
        <f>(Tabela5[[#This Row],[Horas]]-INT(Tabela5[[#This Row],[Horas]]))*24</f>
        <v>11.433333333333334</v>
      </c>
      <c r="O115">
        <v>2.7</v>
      </c>
    </row>
    <row r="116" spans="1:15" x14ac:dyDescent="0.25">
      <c r="A116" t="s">
        <v>668</v>
      </c>
      <c r="B116" t="s">
        <v>495</v>
      </c>
      <c r="C116" t="s">
        <v>1003</v>
      </c>
      <c r="D116" t="str">
        <f t="shared" si="5"/>
        <v>RS - Ipiranga do Sul</v>
      </c>
      <c r="E116" s="482">
        <f>VLOOKUP(D116,'Res Nº5.290'!A:B,2,)</f>
        <v>0.47500000000000003</v>
      </c>
      <c r="F116" s="485">
        <f>(Tabela4[[#This Row],[Horas]]-INT(Tabela4[[#This Row],[Horas]]))*24</f>
        <v>11.4</v>
      </c>
      <c r="G116">
        <v>2.2999999999999998</v>
      </c>
      <c r="I116" t="s">
        <v>701</v>
      </c>
      <c r="J116" t="s">
        <v>500</v>
      </c>
      <c r="K116" t="s">
        <v>1004</v>
      </c>
      <c r="L116" s="483" t="str">
        <f t="shared" si="6"/>
        <v>SP - Jaú</v>
      </c>
      <c r="M116" s="478">
        <f>VLOOKUP(L116,'Res Nº5.290'!A:B,2,FALSE)</f>
        <v>0.47638888888888892</v>
      </c>
      <c r="N116" s="487">
        <f>(Tabela5[[#This Row],[Horas]]-INT(Tabela5[[#This Row],[Horas]]))*24</f>
        <v>11.433333333333334</v>
      </c>
      <c r="O116">
        <v>2.7</v>
      </c>
    </row>
    <row r="117" spans="1:15" x14ac:dyDescent="0.25">
      <c r="A117" t="s">
        <v>668</v>
      </c>
      <c r="B117" t="s">
        <v>495</v>
      </c>
      <c r="C117" t="s">
        <v>1005</v>
      </c>
      <c r="D117" t="str">
        <f t="shared" si="5"/>
        <v>RS - Iraí</v>
      </c>
      <c r="E117" s="482">
        <f>VLOOKUP(D117,'Res Nº5.290'!A:B,2,)</f>
        <v>0.47569444444444442</v>
      </c>
      <c r="F117" s="485">
        <f>(Tabela4[[#This Row],[Horas]]-INT(Tabela4[[#This Row],[Horas]]))*24</f>
        <v>11.416666666666666</v>
      </c>
      <c r="G117">
        <v>2.2999999999999998</v>
      </c>
      <c r="I117" t="s">
        <v>701</v>
      </c>
      <c r="J117" t="s">
        <v>500</v>
      </c>
      <c r="K117" t="s">
        <v>1006</v>
      </c>
      <c r="L117" s="483" t="str">
        <f t="shared" si="6"/>
        <v>SP - Jeriquara</v>
      </c>
      <c r="M117" s="478">
        <f>VLOOKUP(L117,'Res Nº5.290'!A:B,2,FALSE)</f>
        <v>0.4770833333333333</v>
      </c>
      <c r="N117" s="487">
        <f>(Tabela5[[#This Row],[Horas]]-INT(Tabela5[[#This Row],[Horas]]))*24</f>
        <v>11.45</v>
      </c>
      <c r="O117">
        <v>2.7</v>
      </c>
    </row>
    <row r="118" spans="1:15" x14ac:dyDescent="0.25">
      <c r="A118" t="s">
        <v>668</v>
      </c>
      <c r="B118" t="s">
        <v>495</v>
      </c>
      <c r="C118" t="s">
        <v>1007</v>
      </c>
      <c r="D118" t="str">
        <f t="shared" si="5"/>
        <v>RS - Itapuca</v>
      </c>
      <c r="E118" s="482">
        <f>VLOOKUP(D118,'Res Nº5.290'!A:B,2,)</f>
        <v>0.47500000000000003</v>
      </c>
      <c r="F118" s="485">
        <f>(Tabela4[[#This Row],[Horas]]-INT(Tabela4[[#This Row],[Horas]]))*24</f>
        <v>11.4</v>
      </c>
      <c r="G118">
        <v>2.2999999999999998</v>
      </c>
      <c r="I118" t="s">
        <v>701</v>
      </c>
      <c r="J118" t="s">
        <v>500</v>
      </c>
      <c r="K118" t="s">
        <v>1008</v>
      </c>
      <c r="L118" s="483" t="str">
        <f t="shared" si="6"/>
        <v>SP - José Bonifácio</v>
      </c>
      <c r="M118" s="478">
        <f>VLOOKUP(L118,'Res Nº5.290'!A:B,2,FALSE)</f>
        <v>0.47638888888888892</v>
      </c>
      <c r="N118" s="487">
        <f>(Tabela5[[#This Row],[Horas]]-INT(Tabela5[[#This Row],[Horas]]))*24</f>
        <v>11.433333333333334</v>
      </c>
      <c r="O118">
        <v>2.7</v>
      </c>
    </row>
    <row r="119" spans="1:15" x14ac:dyDescent="0.25">
      <c r="A119" t="s">
        <v>668</v>
      </c>
      <c r="B119" t="s">
        <v>495</v>
      </c>
      <c r="C119" t="s">
        <v>1009</v>
      </c>
      <c r="D119" t="str">
        <f t="shared" si="5"/>
        <v>RS - Itatiba do Sul</v>
      </c>
      <c r="E119" s="482">
        <f>VLOOKUP(D119,'Res Nº5.290'!A:B,2,)</f>
        <v>0.47569444444444442</v>
      </c>
      <c r="F119" s="485">
        <f>(Tabela4[[#This Row],[Horas]]-INT(Tabela4[[#This Row],[Horas]]))*24</f>
        <v>11.416666666666666</v>
      </c>
      <c r="G119">
        <v>2.2999999999999998</v>
      </c>
      <c r="I119" t="s">
        <v>701</v>
      </c>
      <c r="J119" t="s">
        <v>500</v>
      </c>
      <c r="K119" t="s">
        <v>1010</v>
      </c>
      <c r="L119" s="483" t="str">
        <f t="shared" si="6"/>
        <v>SP - Júlio Mesquita</v>
      </c>
      <c r="M119" s="478">
        <f>VLOOKUP(L119,'Res Nº5.290'!A:B,2,FALSE)</f>
        <v>0.47638888888888892</v>
      </c>
      <c r="N119" s="487">
        <f>(Tabela5[[#This Row],[Horas]]-INT(Tabela5[[#This Row],[Horas]]))*24</f>
        <v>11.433333333333334</v>
      </c>
      <c r="O119">
        <v>2.7</v>
      </c>
    </row>
    <row r="120" spans="1:15" x14ac:dyDescent="0.25">
      <c r="A120" t="s">
        <v>668</v>
      </c>
      <c r="B120" t="s">
        <v>495</v>
      </c>
      <c r="C120" t="s">
        <v>1011</v>
      </c>
      <c r="D120" t="str">
        <f t="shared" si="5"/>
        <v>RS - Jacutinga</v>
      </c>
      <c r="E120" s="482">
        <f>VLOOKUP(D120,'Res Nº5.290'!A:B,2,)</f>
        <v>0.47500000000000003</v>
      </c>
      <c r="F120" s="485">
        <f>(Tabela4[[#This Row],[Horas]]-INT(Tabela4[[#This Row],[Horas]]))*24</f>
        <v>11.4</v>
      </c>
      <c r="G120">
        <v>2.2999999999999998</v>
      </c>
      <c r="I120" t="s">
        <v>701</v>
      </c>
      <c r="J120" t="s">
        <v>500</v>
      </c>
      <c r="K120" t="s">
        <v>1012</v>
      </c>
      <c r="L120" s="483" t="str">
        <f t="shared" si="6"/>
        <v>SP - Lençóis Paulista</v>
      </c>
      <c r="M120" s="478">
        <f>VLOOKUP(L120,'Res Nº5.290'!A:B,2,FALSE)</f>
        <v>0.47638888888888892</v>
      </c>
      <c r="N120" s="487">
        <f>(Tabela5[[#This Row],[Horas]]-INT(Tabela5[[#This Row],[Horas]]))*24</f>
        <v>11.433333333333334</v>
      </c>
      <c r="O120">
        <v>2.7</v>
      </c>
    </row>
    <row r="121" spans="1:15" x14ac:dyDescent="0.25">
      <c r="A121" t="s">
        <v>668</v>
      </c>
      <c r="B121" t="s">
        <v>495</v>
      </c>
      <c r="C121" t="s">
        <v>1013</v>
      </c>
      <c r="D121" t="str">
        <f t="shared" si="5"/>
        <v>RS - Jaquirana</v>
      </c>
      <c r="E121" s="482">
        <f>VLOOKUP(D121,'Res Nº5.290'!A:B,2,)</f>
        <v>0.47500000000000003</v>
      </c>
      <c r="F121" s="485">
        <f>(Tabela4[[#This Row],[Horas]]-INT(Tabela4[[#This Row],[Horas]]))*24</f>
        <v>11.4</v>
      </c>
      <c r="G121">
        <v>2.2999999999999998</v>
      </c>
      <c r="I121" t="s">
        <v>701</v>
      </c>
      <c r="J121" t="s">
        <v>500</v>
      </c>
      <c r="K121" t="s">
        <v>1014</v>
      </c>
      <c r="L121" s="483" t="str">
        <f t="shared" si="6"/>
        <v>SP - Lindóia</v>
      </c>
      <c r="M121" s="478">
        <f>VLOOKUP(L121,'Res Nº5.290'!A:B,2,FALSE)</f>
        <v>0.47638888888888892</v>
      </c>
      <c r="N121" s="487">
        <f>(Tabela5[[#This Row],[Horas]]-INT(Tabela5[[#This Row],[Horas]]))*24</f>
        <v>11.433333333333334</v>
      </c>
      <c r="O121">
        <v>2.7</v>
      </c>
    </row>
    <row r="122" spans="1:15" x14ac:dyDescent="0.25">
      <c r="A122" t="s">
        <v>668</v>
      </c>
      <c r="B122" t="s">
        <v>495</v>
      </c>
      <c r="C122" t="s">
        <v>1015</v>
      </c>
      <c r="D122" t="str">
        <f t="shared" si="5"/>
        <v>RS - Jari</v>
      </c>
      <c r="E122" s="482">
        <f>VLOOKUP(D122,'Res Nº5.290'!A:B,2,)</f>
        <v>0.47500000000000003</v>
      </c>
      <c r="F122" s="485">
        <f>(Tabela4[[#This Row],[Horas]]-INT(Tabela4[[#This Row],[Horas]]))*24</f>
        <v>11.4</v>
      </c>
      <c r="G122">
        <v>2.2999999999999998</v>
      </c>
      <c r="I122" t="s">
        <v>701</v>
      </c>
      <c r="J122" t="s">
        <v>500</v>
      </c>
      <c r="K122" t="s">
        <v>1016</v>
      </c>
      <c r="L122" s="483" t="str">
        <f t="shared" si="6"/>
        <v>SP - Lins</v>
      </c>
      <c r="M122" s="478">
        <f>VLOOKUP(L122,'Res Nº5.290'!A:B,2,FALSE)</f>
        <v>0.47638888888888892</v>
      </c>
      <c r="N122" s="487">
        <f>(Tabela5[[#This Row],[Horas]]-INT(Tabela5[[#This Row],[Horas]]))*24</f>
        <v>11.433333333333334</v>
      </c>
      <c r="O122">
        <v>2.7</v>
      </c>
    </row>
    <row r="123" spans="1:15" x14ac:dyDescent="0.25">
      <c r="A123" t="s">
        <v>668</v>
      </c>
      <c r="B123" t="s">
        <v>495</v>
      </c>
      <c r="C123" t="s">
        <v>1017</v>
      </c>
      <c r="D123" t="str">
        <f t="shared" si="5"/>
        <v>RS - Jóia</v>
      </c>
      <c r="E123" s="482">
        <f>VLOOKUP(D123,'Res Nº5.290'!A:B,2,)</f>
        <v>0.47500000000000003</v>
      </c>
      <c r="F123" s="485">
        <f>(Tabela4[[#This Row],[Horas]]-INT(Tabela4[[#This Row],[Horas]]))*24</f>
        <v>11.4</v>
      </c>
      <c r="G123">
        <v>2.2999999999999998</v>
      </c>
      <c r="I123" t="s">
        <v>701</v>
      </c>
      <c r="J123" t="s">
        <v>500</v>
      </c>
      <c r="K123" t="s">
        <v>1018</v>
      </c>
      <c r="L123" s="483" t="str">
        <f t="shared" si="6"/>
        <v>SP - Lucianópolis</v>
      </c>
      <c r="M123" s="478">
        <f>VLOOKUP(L123,'Res Nº5.290'!A:B,2,FALSE)</f>
        <v>0.47638888888888892</v>
      </c>
      <c r="N123" s="487">
        <f>(Tabela5[[#This Row],[Horas]]-INT(Tabela5[[#This Row],[Horas]]))*24</f>
        <v>11.433333333333334</v>
      </c>
      <c r="O123">
        <v>2.7</v>
      </c>
    </row>
    <row r="124" spans="1:15" x14ac:dyDescent="0.25">
      <c r="A124" t="s">
        <v>668</v>
      </c>
      <c r="B124" t="s">
        <v>495</v>
      </c>
      <c r="C124" t="s">
        <v>1019</v>
      </c>
      <c r="D124" t="str">
        <f t="shared" si="5"/>
        <v>RS - Júlio de Castilhos</v>
      </c>
      <c r="E124" s="482">
        <f>VLOOKUP(D124,'Res Nº5.290'!A:B,2,)</f>
        <v>0.47500000000000003</v>
      </c>
      <c r="F124" s="485">
        <f>(Tabela4[[#This Row],[Horas]]-INT(Tabela4[[#This Row],[Horas]]))*24</f>
        <v>11.4</v>
      </c>
      <c r="G124">
        <v>2.2999999999999998</v>
      </c>
      <c r="I124" t="s">
        <v>701</v>
      </c>
      <c r="J124" t="s">
        <v>500</v>
      </c>
      <c r="K124" t="s">
        <v>1020</v>
      </c>
      <c r="L124" s="483" t="str">
        <f t="shared" si="6"/>
        <v>SP - Luís Antônio</v>
      </c>
      <c r="M124" s="478">
        <f>VLOOKUP(L124,'Res Nº5.290'!A:B,2,FALSE)</f>
        <v>0.47638888888888892</v>
      </c>
      <c r="N124" s="487">
        <f>(Tabela5[[#This Row],[Horas]]-INT(Tabela5[[#This Row],[Horas]]))*24</f>
        <v>11.433333333333334</v>
      </c>
      <c r="O124">
        <v>2.7</v>
      </c>
    </row>
    <row r="125" spans="1:15" x14ac:dyDescent="0.25">
      <c r="A125" t="s">
        <v>668</v>
      </c>
      <c r="B125" t="s">
        <v>495</v>
      </c>
      <c r="C125" t="s">
        <v>1021</v>
      </c>
      <c r="D125" t="str">
        <f t="shared" si="5"/>
        <v>RS - Lagoa dos Três Cantos</v>
      </c>
      <c r="E125" s="482">
        <f>VLOOKUP(D125,'Res Nº5.290'!A:B,2,)</f>
        <v>0.47500000000000003</v>
      </c>
      <c r="F125" s="485">
        <f>(Tabela4[[#This Row],[Horas]]-INT(Tabela4[[#This Row],[Horas]]))*24</f>
        <v>11.4</v>
      </c>
      <c r="G125">
        <v>2.2999999999999998</v>
      </c>
      <c r="I125" t="s">
        <v>701</v>
      </c>
      <c r="J125" t="s">
        <v>500</v>
      </c>
      <c r="K125" t="s">
        <v>1022</v>
      </c>
      <c r="L125" s="483" t="str">
        <f t="shared" si="6"/>
        <v>SP - Luiziânia</v>
      </c>
      <c r="M125" s="478">
        <f>VLOOKUP(L125,'Res Nº5.290'!A:B,2,FALSE)</f>
        <v>0.47638888888888892</v>
      </c>
      <c r="N125" s="487">
        <f>(Tabela5[[#This Row],[Horas]]-INT(Tabela5[[#This Row],[Horas]]))*24</f>
        <v>11.433333333333334</v>
      </c>
      <c r="O125">
        <v>2.7</v>
      </c>
    </row>
    <row r="126" spans="1:15" x14ac:dyDescent="0.25">
      <c r="A126" t="s">
        <v>668</v>
      </c>
      <c r="B126" t="s">
        <v>495</v>
      </c>
      <c r="C126" t="s">
        <v>1023</v>
      </c>
      <c r="D126" t="str">
        <f t="shared" si="5"/>
        <v>RS - Lagoa Vermelha</v>
      </c>
      <c r="E126" s="482">
        <f>VLOOKUP(D126,'Res Nº5.290'!A:B,2,)</f>
        <v>0.47500000000000003</v>
      </c>
      <c r="F126" s="485">
        <f>(Tabela4[[#This Row],[Horas]]-INT(Tabela4[[#This Row],[Horas]]))*24</f>
        <v>11.4</v>
      </c>
      <c r="G126">
        <v>2.2999999999999998</v>
      </c>
      <c r="I126" t="s">
        <v>701</v>
      </c>
      <c r="J126" t="s">
        <v>500</v>
      </c>
      <c r="K126" t="s">
        <v>1024</v>
      </c>
      <c r="L126" s="483" t="str">
        <f t="shared" si="6"/>
        <v>SP - Lupércio</v>
      </c>
      <c r="M126" s="478">
        <f>VLOOKUP(L126,'Res Nº5.290'!A:B,2,FALSE)</f>
        <v>0.47638888888888892</v>
      </c>
      <c r="N126" s="487">
        <f>(Tabela5[[#This Row],[Horas]]-INT(Tabela5[[#This Row],[Horas]]))*24</f>
        <v>11.433333333333334</v>
      </c>
      <c r="O126">
        <v>2.7</v>
      </c>
    </row>
    <row r="127" spans="1:15" x14ac:dyDescent="0.25">
      <c r="A127" t="s">
        <v>668</v>
      </c>
      <c r="B127" t="s">
        <v>495</v>
      </c>
      <c r="C127" t="s">
        <v>1025</v>
      </c>
      <c r="D127" t="str">
        <f t="shared" si="5"/>
        <v>RS - Lajeado do Bugre</v>
      </c>
      <c r="E127" s="482">
        <f>VLOOKUP(D127,'Res Nº5.290'!A:B,2,)</f>
        <v>0.47500000000000003</v>
      </c>
      <c r="F127" s="485">
        <f>(Tabela4[[#This Row],[Horas]]-INT(Tabela4[[#This Row],[Horas]]))*24</f>
        <v>11.4</v>
      </c>
      <c r="G127">
        <v>2.2999999999999998</v>
      </c>
      <c r="I127" t="s">
        <v>701</v>
      </c>
      <c r="J127" t="s">
        <v>500</v>
      </c>
      <c r="K127" t="s">
        <v>1026</v>
      </c>
      <c r="L127" s="483" t="str">
        <f t="shared" si="6"/>
        <v>SP - Macatuba</v>
      </c>
      <c r="M127" s="478">
        <f>VLOOKUP(L127,'Res Nº5.290'!A:B,2,FALSE)</f>
        <v>0.47638888888888892</v>
      </c>
      <c r="N127" s="487">
        <f>(Tabela5[[#This Row],[Horas]]-INT(Tabela5[[#This Row],[Horas]]))*24</f>
        <v>11.433333333333334</v>
      </c>
      <c r="O127">
        <v>2.7</v>
      </c>
    </row>
    <row r="128" spans="1:15" x14ac:dyDescent="0.25">
      <c r="A128" t="s">
        <v>668</v>
      </c>
      <c r="B128" t="s">
        <v>495</v>
      </c>
      <c r="C128" t="s">
        <v>1027</v>
      </c>
      <c r="D128" t="str">
        <f t="shared" si="5"/>
        <v>RS - Liberato Salzano</v>
      </c>
      <c r="E128" s="482">
        <f>VLOOKUP(D128,'Res Nº5.290'!A:B,2,)</f>
        <v>0.47500000000000003</v>
      </c>
      <c r="F128" s="485">
        <f>(Tabela4[[#This Row],[Horas]]-INT(Tabela4[[#This Row],[Horas]]))*24</f>
        <v>11.4</v>
      </c>
      <c r="G128">
        <v>2.2999999999999998</v>
      </c>
      <c r="I128" t="s">
        <v>701</v>
      </c>
      <c r="J128" t="s">
        <v>500</v>
      </c>
      <c r="K128" t="s">
        <v>1028</v>
      </c>
      <c r="L128" s="483" t="str">
        <f t="shared" si="6"/>
        <v>SP - Marília</v>
      </c>
      <c r="M128" s="478">
        <f>VLOOKUP(L128,'Res Nº5.290'!A:B,2,FALSE)</f>
        <v>0.47638888888888892</v>
      </c>
      <c r="N128" s="487">
        <f>(Tabela5[[#This Row],[Horas]]-INT(Tabela5[[#This Row],[Horas]]))*24</f>
        <v>11.433333333333334</v>
      </c>
      <c r="O128">
        <v>2.7</v>
      </c>
    </row>
    <row r="129" spans="1:15" x14ac:dyDescent="0.25">
      <c r="A129" t="s">
        <v>668</v>
      </c>
      <c r="B129" t="s">
        <v>495</v>
      </c>
      <c r="C129" t="s">
        <v>1029</v>
      </c>
      <c r="D129" t="str">
        <f t="shared" si="5"/>
        <v>RS - Linha Nova</v>
      </c>
      <c r="E129" s="482">
        <f>VLOOKUP(D129,'Res Nº5.290'!A:B,2,)</f>
        <v>0.47500000000000003</v>
      </c>
      <c r="F129" s="485">
        <f>(Tabela4[[#This Row],[Horas]]-INT(Tabela4[[#This Row],[Horas]]))*24</f>
        <v>11.4</v>
      </c>
      <c r="G129">
        <v>2.2999999999999998</v>
      </c>
      <c r="I129" t="s">
        <v>701</v>
      </c>
      <c r="J129" t="s">
        <v>500</v>
      </c>
      <c r="K129" t="s">
        <v>1030</v>
      </c>
      <c r="L129" s="483" t="str">
        <f t="shared" si="6"/>
        <v>SP - Matão</v>
      </c>
      <c r="M129" s="478">
        <f>VLOOKUP(L129,'Res Nº5.290'!A:B,2,FALSE)</f>
        <v>0.47638888888888892</v>
      </c>
      <c r="N129" s="487">
        <f>(Tabela5[[#This Row],[Horas]]-INT(Tabela5[[#This Row],[Horas]]))*24</f>
        <v>11.433333333333334</v>
      </c>
      <c r="O129">
        <v>2.7</v>
      </c>
    </row>
    <row r="130" spans="1:15" x14ac:dyDescent="0.25">
      <c r="A130" t="s">
        <v>668</v>
      </c>
      <c r="B130" t="s">
        <v>495</v>
      </c>
      <c r="C130" t="s">
        <v>1031</v>
      </c>
      <c r="D130" t="str">
        <f t="shared" ref="D130:D193" si="7">CONCATENATE(B130," - ",C130)</f>
        <v>RS - Machadinho</v>
      </c>
      <c r="E130" s="482">
        <f>VLOOKUP(D130,'Res Nº5.290'!A:B,2,)</f>
        <v>0.47500000000000003</v>
      </c>
      <c r="F130" s="485">
        <f>(Tabela4[[#This Row],[Horas]]-INT(Tabela4[[#This Row],[Horas]]))*24</f>
        <v>11.4</v>
      </c>
      <c r="G130">
        <v>2.2999999999999998</v>
      </c>
      <c r="I130" t="s">
        <v>701</v>
      </c>
      <c r="J130" t="s">
        <v>500</v>
      </c>
      <c r="K130" t="s">
        <v>1032</v>
      </c>
      <c r="L130" s="483" t="str">
        <f t="shared" ref="L130:L193" si="8">CONCATENATE(J130," - ",K130)</f>
        <v>SP - Miguelópolis</v>
      </c>
      <c r="M130" s="478">
        <f>VLOOKUP(L130,'Res Nº5.290'!A:B,2,FALSE)</f>
        <v>0.4770833333333333</v>
      </c>
      <c r="N130" s="487">
        <f>(Tabela5[[#This Row],[Horas]]-INT(Tabela5[[#This Row],[Horas]]))*24</f>
        <v>11.45</v>
      </c>
      <c r="O130">
        <v>2.7</v>
      </c>
    </row>
    <row r="131" spans="1:15" x14ac:dyDescent="0.25">
      <c r="A131" t="s">
        <v>668</v>
      </c>
      <c r="B131" t="s">
        <v>495</v>
      </c>
      <c r="C131" t="s">
        <v>1033</v>
      </c>
      <c r="D131" t="str">
        <f t="shared" si="7"/>
        <v>RS - Marau</v>
      </c>
      <c r="E131" s="482">
        <f>VLOOKUP(D131,'Res Nº5.290'!A:B,2,)</f>
        <v>0.47500000000000003</v>
      </c>
      <c r="F131" s="485">
        <f>(Tabela4[[#This Row],[Horas]]-INT(Tabela4[[#This Row],[Horas]]))*24</f>
        <v>11.4</v>
      </c>
      <c r="G131">
        <v>2.2999999999999998</v>
      </c>
      <c r="I131" t="s">
        <v>701</v>
      </c>
      <c r="J131" t="s">
        <v>500</v>
      </c>
      <c r="K131" t="s">
        <v>1034</v>
      </c>
      <c r="L131" s="483" t="str">
        <f t="shared" si="8"/>
        <v>SP - Mineiros do Tietê</v>
      </c>
      <c r="M131" s="478">
        <f>VLOOKUP(L131,'Res Nº5.290'!A:B,2,FALSE)</f>
        <v>0.47638888888888892</v>
      </c>
      <c r="N131" s="487">
        <f>(Tabela5[[#This Row],[Horas]]-INT(Tabela5[[#This Row],[Horas]]))*24</f>
        <v>11.433333333333334</v>
      </c>
      <c r="O131">
        <v>2.7</v>
      </c>
    </row>
    <row r="132" spans="1:15" x14ac:dyDescent="0.25">
      <c r="A132" t="s">
        <v>668</v>
      </c>
      <c r="B132" t="s">
        <v>495</v>
      </c>
      <c r="C132" t="s">
        <v>1035</v>
      </c>
      <c r="D132" t="str">
        <f t="shared" si="7"/>
        <v>RS - Marcelino Ramos</v>
      </c>
      <c r="E132" s="482">
        <f>VLOOKUP(D132,'Res Nº5.290'!A:B,2,)</f>
        <v>0.47569444444444442</v>
      </c>
      <c r="F132" s="485">
        <f>(Tabela4[[#This Row],[Horas]]-INT(Tabela4[[#This Row],[Horas]]))*24</f>
        <v>11.416666666666666</v>
      </c>
      <c r="G132">
        <v>2.2999999999999998</v>
      </c>
      <c r="I132" t="s">
        <v>701</v>
      </c>
      <c r="J132" t="s">
        <v>500</v>
      </c>
      <c r="K132" t="s">
        <v>1036</v>
      </c>
      <c r="L132" s="483" t="str">
        <f t="shared" si="8"/>
        <v>SP - Mirassol</v>
      </c>
      <c r="M132" s="478">
        <f>VLOOKUP(L132,'Res Nº5.290'!A:B,2,FALSE)</f>
        <v>0.47638888888888892</v>
      </c>
      <c r="N132" s="487">
        <f>(Tabela5[[#This Row],[Horas]]-INT(Tabela5[[#This Row],[Horas]]))*24</f>
        <v>11.433333333333334</v>
      </c>
      <c r="O132">
        <v>2.7</v>
      </c>
    </row>
    <row r="133" spans="1:15" x14ac:dyDescent="0.25">
      <c r="A133" t="s">
        <v>668</v>
      </c>
      <c r="B133" t="s">
        <v>495</v>
      </c>
      <c r="C133" t="s">
        <v>1037</v>
      </c>
      <c r="D133" t="str">
        <f t="shared" si="7"/>
        <v>RS - Mariano Moro</v>
      </c>
      <c r="E133" s="482">
        <f>VLOOKUP(D133,'Res Nº5.290'!A:B,2,)</f>
        <v>0.47569444444444442</v>
      </c>
      <c r="F133" s="485">
        <f>(Tabela4[[#This Row],[Horas]]-INT(Tabela4[[#This Row],[Horas]]))*24</f>
        <v>11.416666666666666</v>
      </c>
      <c r="G133">
        <v>2.2999999999999998</v>
      </c>
      <c r="I133" t="s">
        <v>701</v>
      </c>
      <c r="J133" t="s">
        <v>500</v>
      </c>
      <c r="K133" t="s">
        <v>1038</v>
      </c>
      <c r="L133" s="483" t="str">
        <f t="shared" si="8"/>
        <v>SP - Mirassolândia</v>
      </c>
      <c r="M133" s="478">
        <f>VLOOKUP(L133,'Res Nº5.290'!A:B,2,FALSE)</f>
        <v>0.4770833333333333</v>
      </c>
      <c r="N133" s="487">
        <f>(Tabela5[[#This Row],[Horas]]-INT(Tabela5[[#This Row],[Horas]]))*24</f>
        <v>11.45</v>
      </c>
      <c r="O133">
        <v>2.7</v>
      </c>
    </row>
    <row r="134" spans="1:15" x14ac:dyDescent="0.25">
      <c r="A134" t="s">
        <v>668</v>
      </c>
      <c r="B134" t="s">
        <v>495</v>
      </c>
      <c r="C134" t="s">
        <v>1039</v>
      </c>
      <c r="D134" t="str">
        <f t="shared" si="7"/>
        <v>RS - Maximiliano de Almeida</v>
      </c>
      <c r="E134" s="482">
        <f>VLOOKUP(D134,'Res Nº5.290'!A:B,2,)</f>
        <v>0.47500000000000003</v>
      </c>
      <c r="F134" s="485">
        <f>(Tabela4[[#This Row],[Horas]]-INT(Tabela4[[#This Row],[Horas]]))*24</f>
        <v>11.4</v>
      </c>
      <c r="G134">
        <v>2.2999999999999998</v>
      </c>
      <c r="I134" t="s">
        <v>701</v>
      </c>
      <c r="J134" t="s">
        <v>500</v>
      </c>
      <c r="K134" t="s">
        <v>1040</v>
      </c>
      <c r="L134" s="483" t="str">
        <f t="shared" si="8"/>
        <v>SP - Mombuca</v>
      </c>
      <c r="M134" s="478">
        <f>VLOOKUP(L134,'Res Nº5.290'!A:B,2,FALSE)</f>
        <v>0.47638888888888892</v>
      </c>
      <c r="N134" s="487">
        <f>(Tabela5[[#This Row],[Horas]]-INT(Tabela5[[#This Row],[Horas]]))*24</f>
        <v>11.433333333333334</v>
      </c>
      <c r="O134">
        <v>2.7</v>
      </c>
    </row>
    <row r="135" spans="1:15" x14ac:dyDescent="0.25">
      <c r="A135" t="s">
        <v>668</v>
      </c>
      <c r="B135" t="s">
        <v>495</v>
      </c>
      <c r="C135" t="s">
        <v>1041</v>
      </c>
      <c r="D135" t="str">
        <f t="shared" si="7"/>
        <v>RS - Miraguaí</v>
      </c>
      <c r="E135" s="482">
        <f>VLOOKUP(D135,'Res Nº5.290'!A:B,2,)</f>
        <v>0.47500000000000003</v>
      </c>
      <c r="F135" s="485">
        <f>(Tabela4[[#This Row],[Horas]]-INT(Tabela4[[#This Row],[Horas]]))*24</f>
        <v>11.4</v>
      </c>
      <c r="G135">
        <v>2.2999999999999998</v>
      </c>
      <c r="I135" t="s">
        <v>701</v>
      </c>
      <c r="J135" t="s">
        <v>500</v>
      </c>
      <c r="K135" t="s">
        <v>1042</v>
      </c>
      <c r="L135" s="483" t="str">
        <f t="shared" si="8"/>
        <v>SP - Monte Alegre do Sul</v>
      </c>
      <c r="M135" s="478">
        <f>VLOOKUP(L135,'Res Nº5.290'!A:B,2,FALSE)</f>
        <v>0.47638888888888892</v>
      </c>
      <c r="N135" s="487">
        <f>(Tabela5[[#This Row],[Horas]]-INT(Tabela5[[#This Row],[Horas]]))*24</f>
        <v>11.433333333333334</v>
      </c>
      <c r="O135">
        <v>2.7</v>
      </c>
    </row>
    <row r="136" spans="1:15" x14ac:dyDescent="0.25">
      <c r="A136" t="s">
        <v>668</v>
      </c>
      <c r="B136" t="s">
        <v>495</v>
      </c>
      <c r="C136" t="s">
        <v>1043</v>
      </c>
      <c r="D136" t="str">
        <f t="shared" si="7"/>
        <v>RS - Montauri</v>
      </c>
      <c r="E136" s="482">
        <f>VLOOKUP(D136,'Res Nº5.290'!A:B,2,)</f>
        <v>0.47500000000000003</v>
      </c>
      <c r="F136" s="485">
        <f>(Tabela4[[#This Row],[Horas]]-INT(Tabela4[[#This Row],[Horas]]))*24</f>
        <v>11.4</v>
      </c>
      <c r="G136">
        <v>2.2999999999999998</v>
      </c>
      <c r="I136" t="s">
        <v>701</v>
      </c>
      <c r="J136" t="s">
        <v>500</v>
      </c>
      <c r="K136" t="s">
        <v>1044</v>
      </c>
      <c r="L136" s="483" t="str">
        <f t="shared" si="8"/>
        <v>SP - Monte Alto</v>
      </c>
      <c r="M136" s="478">
        <f>VLOOKUP(L136,'Res Nº5.290'!A:B,2,FALSE)</f>
        <v>0.47638888888888892</v>
      </c>
      <c r="N136" s="487">
        <f>(Tabela5[[#This Row],[Horas]]-INT(Tabela5[[#This Row],[Horas]]))*24</f>
        <v>11.433333333333334</v>
      </c>
      <c r="O136">
        <v>2.7</v>
      </c>
    </row>
    <row r="137" spans="1:15" x14ac:dyDescent="0.25">
      <c r="A137" t="s">
        <v>668</v>
      </c>
      <c r="B137" t="s">
        <v>495</v>
      </c>
      <c r="C137" t="s">
        <v>1045</v>
      </c>
      <c r="D137" t="str">
        <f t="shared" si="7"/>
        <v>RS - Monte Alegre dos Campos</v>
      </c>
      <c r="E137" s="482">
        <f>VLOOKUP(D137,'Res Nº5.290'!A:B,2,)</f>
        <v>0.47500000000000003</v>
      </c>
      <c r="F137" s="485">
        <f>(Tabela4[[#This Row],[Horas]]-INT(Tabela4[[#This Row],[Horas]]))*24</f>
        <v>11.4</v>
      </c>
      <c r="G137">
        <v>2.2999999999999998</v>
      </c>
      <c r="I137" t="s">
        <v>701</v>
      </c>
      <c r="J137" t="s">
        <v>500</v>
      </c>
      <c r="K137" t="s">
        <v>1046</v>
      </c>
      <c r="L137" s="483" t="str">
        <f t="shared" si="8"/>
        <v>SP - Monte Aprazível</v>
      </c>
      <c r="M137" s="478">
        <f>VLOOKUP(L137,'Res Nº5.290'!A:B,2,FALSE)</f>
        <v>0.4770833333333333</v>
      </c>
      <c r="N137" s="487">
        <f>(Tabela5[[#This Row],[Horas]]-INT(Tabela5[[#This Row],[Horas]]))*24</f>
        <v>11.45</v>
      </c>
      <c r="O137">
        <v>2.7</v>
      </c>
    </row>
    <row r="138" spans="1:15" x14ac:dyDescent="0.25">
      <c r="A138" t="s">
        <v>668</v>
      </c>
      <c r="B138" t="s">
        <v>495</v>
      </c>
      <c r="C138" t="s">
        <v>1047</v>
      </c>
      <c r="D138" t="str">
        <f t="shared" si="7"/>
        <v>RS - Monte Belo do Sul</v>
      </c>
      <c r="E138" s="482">
        <f>VLOOKUP(D138,'Res Nº5.290'!A:B,2,)</f>
        <v>0.47500000000000003</v>
      </c>
      <c r="F138" s="485">
        <f>(Tabela4[[#This Row],[Horas]]-INT(Tabela4[[#This Row],[Horas]]))*24</f>
        <v>11.4</v>
      </c>
      <c r="G138">
        <v>2.2999999999999998</v>
      </c>
      <c r="I138" t="s">
        <v>701</v>
      </c>
      <c r="J138" t="s">
        <v>500</v>
      </c>
      <c r="K138" t="s">
        <v>1048</v>
      </c>
      <c r="L138" s="483" t="str">
        <f t="shared" si="8"/>
        <v>SP - Monte Azul Paulista</v>
      </c>
      <c r="M138" s="478">
        <f>VLOOKUP(L138,'Res Nº5.290'!A:B,2,FALSE)</f>
        <v>0.47638888888888892</v>
      </c>
      <c r="N138" s="487">
        <f>(Tabela5[[#This Row],[Horas]]-INT(Tabela5[[#This Row],[Horas]]))*24</f>
        <v>11.433333333333334</v>
      </c>
      <c r="O138">
        <v>2.7</v>
      </c>
    </row>
    <row r="139" spans="1:15" x14ac:dyDescent="0.25">
      <c r="A139" t="s">
        <v>668</v>
      </c>
      <c r="B139" t="s">
        <v>495</v>
      </c>
      <c r="C139" t="s">
        <v>1049</v>
      </c>
      <c r="D139" t="str">
        <f t="shared" si="7"/>
        <v>RS - Mormaço</v>
      </c>
      <c r="E139" s="482">
        <f>VLOOKUP(D139,'Res Nº5.290'!A:B,2,)</f>
        <v>0.47500000000000003</v>
      </c>
      <c r="F139" s="485">
        <f>(Tabela4[[#This Row],[Horas]]-INT(Tabela4[[#This Row],[Horas]]))*24</f>
        <v>11.4</v>
      </c>
      <c r="G139">
        <v>2.2999999999999998</v>
      </c>
      <c r="I139" t="s">
        <v>701</v>
      </c>
      <c r="J139" t="s">
        <v>500</v>
      </c>
      <c r="K139" t="s">
        <v>1050</v>
      </c>
      <c r="L139" s="483" t="str">
        <f t="shared" si="8"/>
        <v>SP - Monte Mor</v>
      </c>
      <c r="M139" s="478">
        <f>VLOOKUP(L139,'Res Nº5.290'!A:B,2,FALSE)</f>
        <v>0.47638888888888892</v>
      </c>
      <c r="N139" s="487">
        <f>(Tabela5[[#This Row],[Horas]]-INT(Tabela5[[#This Row],[Horas]]))*24</f>
        <v>11.433333333333334</v>
      </c>
      <c r="O139">
        <v>2.7</v>
      </c>
    </row>
    <row r="140" spans="1:15" x14ac:dyDescent="0.25">
      <c r="A140" t="s">
        <v>668</v>
      </c>
      <c r="B140" t="s">
        <v>495</v>
      </c>
      <c r="C140" t="s">
        <v>1051</v>
      </c>
      <c r="D140" t="str">
        <f t="shared" si="7"/>
        <v>RS - Muitos Capões</v>
      </c>
      <c r="E140" s="482">
        <f>VLOOKUP(D140,'Res Nº5.290'!A:B,2,)</f>
        <v>0.47500000000000003</v>
      </c>
      <c r="F140" s="485">
        <f>(Tabela4[[#This Row],[Horas]]-INT(Tabela4[[#This Row],[Horas]]))*24</f>
        <v>11.4</v>
      </c>
      <c r="G140">
        <v>2.2999999999999998</v>
      </c>
      <c r="I140" t="s">
        <v>701</v>
      </c>
      <c r="J140" t="s">
        <v>500</v>
      </c>
      <c r="K140" t="s">
        <v>1052</v>
      </c>
      <c r="L140" s="483" t="str">
        <f t="shared" si="8"/>
        <v>SP - Morro Agudo</v>
      </c>
      <c r="M140" s="478">
        <f>VLOOKUP(L140,'Res Nº5.290'!A:B,2,FALSE)</f>
        <v>0.4770833333333333</v>
      </c>
      <c r="N140" s="487">
        <f>(Tabela5[[#This Row],[Horas]]-INT(Tabela5[[#This Row],[Horas]]))*24</f>
        <v>11.45</v>
      </c>
      <c r="O140">
        <v>2.7</v>
      </c>
    </row>
    <row r="141" spans="1:15" x14ac:dyDescent="0.25">
      <c r="A141" t="s">
        <v>668</v>
      </c>
      <c r="B141" t="s">
        <v>495</v>
      </c>
      <c r="C141" t="s">
        <v>1053</v>
      </c>
      <c r="D141" t="str">
        <f t="shared" si="7"/>
        <v>RS - Muliterno</v>
      </c>
      <c r="E141" s="482">
        <f>VLOOKUP(D141,'Res Nº5.290'!A:B,2,)</f>
        <v>0.47500000000000003</v>
      </c>
      <c r="F141" s="485">
        <f>(Tabela4[[#This Row],[Horas]]-INT(Tabela4[[#This Row],[Horas]]))*24</f>
        <v>11.4</v>
      </c>
      <c r="G141">
        <v>2.2999999999999998</v>
      </c>
      <c r="I141" t="s">
        <v>701</v>
      </c>
      <c r="J141" t="s">
        <v>500</v>
      </c>
      <c r="K141" t="s">
        <v>1054</v>
      </c>
      <c r="L141" s="483" t="str">
        <f t="shared" si="8"/>
        <v>SP - Morungaba</v>
      </c>
      <c r="M141" s="478">
        <f>VLOOKUP(L141,'Res Nº5.290'!A:B,2,FALSE)</f>
        <v>0.47638888888888892</v>
      </c>
      <c r="N141" s="487">
        <f>(Tabela5[[#This Row],[Horas]]-INT(Tabela5[[#This Row],[Horas]]))*24</f>
        <v>11.433333333333334</v>
      </c>
      <c r="O141">
        <v>2.7</v>
      </c>
    </row>
    <row r="142" spans="1:15" x14ac:dyDescent="0.25">
      <c r="A142" t="s">
        <v>668</v>
      </c>
      <c r="B142" t="s">
        <v>495</v>
      </c>
      <c r="C142" t="s">
        <v>1055</v>
      </c>
      <c r="D142" t="str">
        <f t="shared" si="7"/>
        <v>RS - Não-Me-Toque</v>
      </c>
      <c r="E142" s="482">
        <f>VLOOKUP(D142,'Res Nº5.290'!A:B,2,)</f>
        <v>0.47500000000000003</v>
      </c>
      <c r="F142" s="485">
        <f>(Tabela4[[#This Row],[Horas]]-INT(Tabela4[[#This Row],[Horas]]))*24</f>
        <v>11.4</v>
      </c>
      <c r="G142">
        <v>2.2999999999999998</v>
      </c>
      <c r="I142" t="s">
        <v>701</v>
      </c>
      <c r="J142" t="s">
        <v>500</v>
      </c>
      <c r="K142" t="s">
        <v>1056</v>
      </c>
      <c r="L142" s="483" t="str">
        <f t="shared" si="8"/>
        <v>SP - Motuca</v>
      </c>
      <c r="M142" s="478">
        <f>VLOOKUP(L142,'Res Nº5.290'!A:B,2,FALSE)</f>
        <v>0.47638888888888892</v>
      </c>
      <c r="N142" s="487">
        <f>(Tabela5[[#This Row],[Horas]]-INT(Tabela5[[#This Row],[Horas]]))*24</f>
        <v>11.433333333333334</v>
      </c>
      <c r="O142">
        <v>2.7</v>
      </c>
    </row>
    <row r="143" spans="1:15" x14ac:dyDescent="0.25">
      <c r="A143" t="s">
        <v>668</v>
      </c>
      <c r="B143" t="s">
        <v>495</v>
      </c>
      <c r="C143" t="s">
        <v>1057</v>
      </c>
      <c r="D143" t="str">
        <f t="shared" si="7"/>
        <v>RS - Nonoai</v>
      </c>
      <c r="E143" s="482">
        <f>VLOOKUP(D143,'Res Nº5.290'!A:B,2,)</f>
        <v>0.47569444444444442</v>
      </c>
      <c r="F143" s="485">
        <f>(Tabela4[[#This Row],[Horas]]-INT(Tabela4[[#This Row],[Horas]]))*24</f>
        <v>11.416666666666666</v>
      </c>
      <c r="G143">
        <v>2.2999999999999998</v>
      </c>
      <c r="I143" t="s">
        <v>701</v>
      </c>
      <c r="J143" t="s">
        <v>500</v>
      </c>
      <c r="K143" t="s">
        <v>1058</v>
      </c>
      <c r="L143" s="483" t="str">
        <f t="shared" si="8"/>
        <v>SP - Neves Paulista</v>
      </c>
      <c r="M143" s="478">
        <f>VLOOKUP(L143,'Res Nº5.290'!A:B,2,FALSE)</f>
        <v>0.47638888888888892</v>
      </c>
      <c r="N143" s="487">
        <f>(Tabela5[[#This Row],[Horas]]-INT(Tabela5[[#This Row],[Horas]]))*24</f>
        <v>11.433333333333334</v>
      </c>
      <c r="O143">
        <v>2.7</v>
      </c>
    </row>
    <row r="144" spans="1:15" x14ac:dyDescent="0.25">
      <c r="A144" t="s">
        <v>668</v>
      </c>
      <c r="B144" t="s">
        <v>495</v>
      </c>
      <c r="C144" t="s">
        <v>1059</v>
      </c>
      <c r="D144" t="str">
        <f t="shared" si="7"/>
        <v>RS - Nova Alvorada</v>
      </c>
      <c r="E144" s="482">
        <f>VLOOKUP(D144,'Res Nº5.290'!A:B,2,)</f>
        <v>0.47500000000000003</v>
      </c>
      <c r="F144" s="485">
        <f>(Tabela4[[#This Row],[Horas]]-INT(Tabela4[[#This Row],[Horas]]))*24</f>
        <v>11.4</v>
      </c>
      <c r="G144">
        <v>2.2999999999999998</v>
      </c>
      <c r="I144" t="s">
        <v>701</v>
      </c>
      <c r="J144" t="s">
        <v>500</v>
      </c>
      <c r="K144" t="s">
        <v>1060</v>
      </c>
      <c r="L144" s="483" t="str">
        <f t="shared" si="8"/>
        <v>SP - Nova Europa</v>
      </c>
      <c r="M144" s="478">
        <f>VLOOKUP(L144,'Res Nº5.290'!A:B,2,FALSE)</f>
        <v>0.47638888888888892</v>
      </c>
      <c r="N144" s="487">
        <f>(Tabela5[[#This Row],[Horas]]-INT(Tabela5[[#This Row],[Horas]]))*24</f>
        <v>11.433333333333334</v>
      </c>
      <c r="O144">
        <v>2.7</v>
      </c>
    </row>
    <row r="145" spans="1:15" x14ac:dyDescent="0.25">
      <c r="A145" t="s">
        <v>668</v>
      </c>
      <c r="B145" t="s">
        <v>495</v>
      </c>
      <c r="C145" t="s">
        <v>1061</v>
      </c>
      <c r="D145" t="str">
        <f t="shared" si="7"/>
        <v>RS - Nova Araçá</v>
      </c>
      <c r="E145" s="482">
        <f>VLOOKUP(D145,'Res Nº5.290'!A:B,2,)</f>
        <v>0.47500000000000003</v>
      </c>
      <c r="F145" s="485">
        <f>(Tabela4[[#This Row],[Horas]]-INT(Tabela4[[#This Row],[Horas]]))*24</f>
        <v>11.4</v>
      </c>
      <c r="G145">
        <v>2.2999999999999998</v>
      </c>
      <c r="I145" t="s">
        <v>701</v>
      </c>
      <c r="J145" t="s">
        <v>500</v>
      </c>
      <c r="K145" t="s">
        <v>1062</v>
      </c>
      <c r="L145" s="483" t="str">
        <f t="shared" si="8"/>
        <v>SP - Nova Granada</v>
      </c>
      <c r="M145" s="478">
        <f>VLOOKUP(L145,'Res Nº5.290'!A:B,2,FALSE)</f>
        <v>0.4770833333333333</v>
      </c>
      <c r="N145" s="487">
        <f>(Tabela5[[#This Row],[Horas]]-INT(Tabela5[[#This Row],[Horas]]))*24</f>
        <v>11.45</v>
      </c>
      <c r="O145">
        <v>2.7</v>
      </c>
    </row>
    <row r="146" spans="1:15" x14ac:dyDescent="0.25">
      <c r="A146" t="s">
        <v>668</v>
      </c>
      <c r="B146" t="s">
        <v>495</v>
      </c>
      <c r="C146" t="s">
        <v>1063</v>
      </c>
      <c r="D146" t="str">
        <f t="shared" si="7"/>
        <v>RS - Nova Bassano</v>
      </c>
      <c r="E146" s="482">
        <f>VLOOKUP(D146,'Res Nº5.290'!A:B,2,)</f>
        <v>0.47500000000000003</v>
      </c>
      <c r="F146" s="485">
        <f>(Tabela4[[#This Row],[Horas]]-INT(Tabela4[[#This Row],[Horas]]))*24</f>
        <v>11.4</v>
      </c>
      <c r="G146">
        <v>2.2999999999999998</v>
      </c>
      <c r="I146" t="s">
        <v>701</v>
      </c>
      <c r="J146" t="s">
        <v>500</v>
      </c>
      <c r="K146" t="s">
        <v>1064</v>
      </c>
      <c r="L146" s="483" t="str">
        <f t="shared" si="8"/>
        <v>SP - Nova Odessa</v>
      </c>
      <c r="M146" s="478">
        <f>VLOOKUP(L146,'Res Nº5.290'!A:B,2,FALSE)</f>
        <v>0.47638888888888892</v>
      </c>
      <c r="N146" s="487">
        <f>(Tabela5[[#This Row],[Horas]]-INT(Tabela5[[#This Row],[Horas]]))*24</f>
        <v>11.433333333333334</v>
      </c>
      <c r="O146">
        <v>2.7</v>
      </c>
    </row>
    <row r="147" spans="1:15" x14ac:dyDescent="0.25">
      <c r="A147" t="s">
        <v>668</v>
      </c>
      <c r="B147" t="s">
        <v>495</v>
      </c>
      <c r="C147" t="s">
        <v>1065</v>
      </c>
      <c r="D147" t="str">
        <f t="shared" si="7"/>
        <v>RS - Nova Boa Vista</v>
      </c>
      <c r="E147" s="482">
        <f>VLOOKUP(D147,'Res Nº5.290'!A:B,2,)</f>
        <v>0.47500000000000003</v>
      </c>
      <c r="F147" s="485">
        <f>(Tabela4[[#This Row],[Horas]]-INT(Tabela4[[#This Row],[Horas]]))*24</f>
        <v>11.4</v>
      </c>
      <c r="G147">
        <v>2.2999999999999998</v>
      </c>
      <c r="I147" t="s">
        <v>701</v>
      </c>
      <c r="J147" t="s">
        <v>500</v>
      </c>
      <c r="K147" t="s">
        <v>1066</v>
      </c>
      <c r="L147" s="483" t="str">
        <f t="shared" si="8"/>
        <v>SP - Nuporanga</v>
      </c>
      <c r="M147" s="478">
        <f>VLOOKUP(L147,'Res Nº5.290'!A:B,2,FALSE)</f>
        <v>0.4770833333333333</v>
      </c>
      <c r="N147" s="487">
        <f>(Tabela5[[#This Row],[Horas]]-INT(Tabela5[[#This Row],[Horas]]))*24</f>
        <v>11.45</v>
      </c>
      <c r="O147">
        <v>2.7</v>
      </c>
    </row>
    <row r="148" spans="1:15" x14ac:dyDescent="0.25">
      <c r="A148" t="s">
        <v>668</v>
      </c>
      <c r="B148" t="s">
        <v>495</v>
      </c>
      <c r="C148" t="s">
        <v>1067</v>
      </c>
      <c r="D148" t="str">
        <f t="shared" si="7"/>
        <v>RS - Nova Candelária</v>
      </c>
      <c r="E148" s="482">
        <f>VLOOKUP(D148,'Res Nº5.290'!A:B,2,)</f>
        <v>0.47500000000000003</v>
      </c>
      <c r="F148" s="485">
        <f>(Tabela4[[#This Row],[Horas]]-INT(Tabela4[[#This Row],[Horas]]))*24</f>
        <v>11.4</v>
      </c>
      <c r="G148">
        <v>2.2999999999999998</v>
      </c>
      <c r="I148" t="s">
        <v>701</v>
      </c>
      <c r="J148" t="s">
        <v>500</v>
      </c>
      <c r="K148" t="s">
        <v>1068</v>
      </c>
      <c r="L148" s="483" t="str">
        <f t="shared" si="8"/>
        <v>SP - Ocauçu</v>
      </c>
      <c r="M148" s="478">
        <f>VLOOKUP(L148,'Res Nº5.290'!A:B,2,FALSE)</f>
        <v>0.47638888888888892</v>
      </c>
      <c r="N148" s="487">
        <f>(Tabela5[[#This Row],[Horas]]-INT(Tabela5[[#This Row],[Horas]]))*24</f>
        <v>11.433333333333334</v>
      </c>
      <c r="O148">
        <v>2.7</v>
      </c>
    </row>
    <row r="149" spans="1:15" x14ac:dyDescent="0.25">
      <c r="A149" t="s">
        <v>668</v>
      </c>
      <c r="B149" t="s">
        <v>495</v>
      </c>
      <c r="C149" t="s">
        <v>1069</v>
      </c>
      <c r="D149" t="str">
        <f t="shared" si="7"/>
        <v>RS - Nova Hartz</v>
      </c>
      <c r="E149" s="482">
        <f>VLOOKUP(D149,'Res Nº5.290'!A:B,2,)</f>
        <v>0.47500000000000003</v>
      </c>
      <c r="F149" s="485">
        <f>(Tabela4[[#This Row],[Horas]]-INT(Tabela4[[#This Row],[Horas]]))*24</f>
        <v>11.4</v>
      </c>
      <c r="G149">
        <v>2.2999999999999998</v>
      </c>
      <c r="I149" t="s">
        <v>701</v>
      </c>
      <c r="J149" t="s">
        <v>500</v>
      </c>
      <c r="K149" t="s">
        <v>1070</v>
      </c>
      <c r="L149" s="483" t="str">
        <f t="shared" si="8"/>
        <v>SP - Olímpia</v>
      </c>
      <c r="M149" s="478">
        <f>VLOOKUP(L149,'Res Nº5.290'!A:B,2,FALSE)</f>
        <v>0.4770833333333333</v>
      </c>
      <c r="N149" s="487">
        <f>(Tabela5[[#This Row],[Horas]]-INT(Tabela5[[#This Row],[Horas]]))*24</f>
        <v>11.45</v>
      </c>
      <c r="O149">
        <v>2.7</v>
      </c>
    </row>
    <row r="150" spans="1:15" x14ac:dyDescent="0.25">
      <c r="A150" t="s">
        <v>668</v>
      </c>
      <c r="B150" t="s">
        <v>495</v>
      </c>
      <c r="C150" t="s">
        <v>1071</v>
      </c>
      <c r="D150" t="str">
        <f t="shared" si="7"/>
        <v>RS - Nova Pádua</v>
      </c>
      <c r="E150" s="482">
        <f>VLOOKUP(D150,'Res Nº5.290'!A:B,2,)</f>
        <v>0.47500000000000003</v>
      </c>
      <c r="F150" s="485">
        <f>(Tabela4[[#This Row],[Horas]]-INT(Tabela4[[#This Row],[Horas]]))*24</f>
        <v>11.4</v>
      </c>
      <c r="G150">
        <v>2.2999999999999998</v>
      </c>
      <c r="I150" t="s">
        <v>701</v>
      </c>
      <c r="J150" t="s">
        <v>500</v>
      </c>
      <c r="K150" t="s">
        <v>1072</v>
      </c>
      <c r="L150" s="483" t="str">
        <f t="shared" si="8"/>
        <v>SP - Onda Verde</v>
      </c>
      <c r="M150" s="478">
        <f>VLOOKUP(L150,'Res Nº5.290'!A:B,2,FALSE)</f>
        <v>0.4770833333333333</v>
      </c>
      <c r="N150" s="487">
        <f>(Tabela5[[#This Row],[Horas]]-INT(Tabela5[[#This Row],[Horas]]))*24</f>
        <v>11.45</v>
      </c>
      <c r="O150">
        <v>2.7</v>
      </c>
    </row>
    <row r="151" spans="1:15" x14ac:dyDescent="0.25">
      <c r="A151" t="s">
        <v>668</v>
      </c>
      <c r="B151" t="s">
        <v>495</v>
      </c>
      <c r="C151" t="s">
        <v>1073</v>
      </c>
      <c r="D151" t="str">
        <f t="shared" si="7"/>
        <v>RS - Nova Palma</v>
      </c>
      <c r="E151" s="482">
        <f>VLOOKUP(D151,'Res Nº5.290'!A:B,2,)</f>
        <v>0.47500000000000003</v>
      </c>
      <c r="F151" s="485">
        <f>(Tabela4[[#This Row],[Horas]]-INT(Tabela4[[#This Row],[Horas]]))*24</f>
        <v>11.4</v>
      </c>
      <c r="G151">
        <v>2.2999999999999998</v>
      </c>
      <c r="I151" t="s">
        <v>701</v>
      </c>
      <c r="J151" t="s">
        <v>500</v>
      </c>
      <c r="K151" t="s">
        <v>1074</v>
      </c>
      <c r="L151" s="483" t="str">
        <f t="shared" si="8"/>
        <v>SP - Oriente</v>
      </c>
      <c r="M151" s="478">
        <f>VLOOKUP(L151,'Res Nº5.290'!A:B,2,FALSE)</f>
        <v>0.47638888888888892</v>
      </c>
      <c r="N151" s="487">
        <f>(Tabela5[[#This Row],[Horas]]-INT(Tabela5[[#This Row],[Horas]]))*24</f>
        <v>11.433333333333334</v>
      </c>
      <c r="O151">
        <v>2.7</v>
      </c>
    </row>
    <row r="152" spans="1:15" x14ac:dyDescent="0.25">
      <c r="A152" t="s">
        <v>668</v>
      </c>
      <c r="B152" t="s">
        <v>495</v>
      </c>
      <c r="C152" t="s">
        <v>1075</v>
      </c>
      <c r="D152" t="str">
        <f t="shared" si="7"/>
        <v>RS - Nova Petrópolis</v>
      </c>
      <c r="E152" s="482">
        <f>VLOOKUP(D152,'Res Nº5.290'!A:B,2,)</f>
        <v>0.47500000000000003</v>
      </c>
      <c r="F152" s="485">
        <f>(Tabela4[[#This Row],[Horas]]-INT(Tabela4[[#This Row],[Horas]]))*24</f>
        <v>11.4</v>
      </c>
      <c r="G152">
        <v>2.2999999999999998</v>
      </c>
      <c r="I152" t="s">
        <v>701</v>
      </c>
      <c r="J152" t="s">
        <v>500</v>
      </c>
      <c r="K152" t="s">
        <v>1076</v>
      </c>
      <c r="L152" s="483" t="str">
        <f t="shared" si="8"/>
        <v>SP - Orlândia</v>
      </c>
      <c r="M152" s="478">
        <f>VLOOKUP(L152,'Res Nº5.290'!A:B,2,FALSE)</f>
        <v>0.4770833333333333</v>
      </c>
      <c r="N152" s="487">
        <f>(Tabela5[[#This Row],[Horas]]-INT(Tabela5[[#This Row],[Horas]]))*24</f>
        <v>11.45</v>
      </c>
      <c r="O152">
        <v>2.7</v>
      </c>
    </row>
    <row r="153" spans="1:15" x14ac:dyDescent="0.25">
      <c r="A153" t="s">
        <v>668</v>
      </c>
      <c r="B153" t="s">
        <v>495</v>
      </c>
      <c r="C153" t="s">
        <v>1077</v>
      </c>
      <c r="D153" t="str">
        <f t="shared" si="7"/>
        <v>RS - Nova Prata</v>
      </c>
      <c r="E153" s="482">
        <f>VLOOKUP(D153,'Res Nº5.290'!A:B,2,)</f>
        <v>0.47500000000000003</v>
      </c>
      <c r="F153" s="485">
        <f>(Tabela4[[#This Row],[Horas]]-INT(Tabela4[[#This Row],[Horas]]))*24</f>
        <v>11.4</v>
      </c>
      <c r="G153">
        <v>2.2999999999999998</v>
      </c>
      <c r="I153" t="s">
        <v>701</v>
      </c>
      <c r="J153" t="s">
        <v>500</v>
      </c>
      <c r="K153" t="s">
        <v>1078</v>
      </c>
      <c r="L153" s="483" t="str">
        <f t="shared" si="8"/>
        <v>SP - Palestina</v>
      </c>
      <c r="M153" s="478">
        <f>VLOOKUP(L153,'Res Nº5.290'!A:B,2,FALSE)</f>
        <v>0.4770833333333333</v>
      </c>
      <c r="N153" s="487">
        <f>(Tabela5[[#This Row],[Horas]]-INT(Tabela5[[#This Row],[Horas]]))*24</f>
        <v>11.45</v>
      </c>
      <c r="O153">
        <v>2.7</v>
      </c>
    </row>
    <row r="154" spans="1:15" x14ac:dyDescent="0.25">
      <c r="A154" t="s">
        <v>668</v>
      </c>
      <c r="B154" t="s">
        <v>495</v>
      </c>
      <c r="C154" t="s">
        <v>1079</v>
      </c>
      <c r="D154" t="str">
        <f t="shared" si="7"/>
        <v>RS - Nova Roma do Sul</v>
      </c>
      <c r="E154" s="482">
        <f>VLOOKUP(D154,'Res Nº5.290'!A:B,2,)</f>
        <v>0.47500000000000003</v>
      </c>
      <c r="F154" s="485">
        <f>(Tabela4[[#This Row],[Horas]]-INT(Tabela4[[#This Row],[Horas]]))*24</f>
        <v>11.4</v>
      </c>
      <c r="G154">
        <v>2.2999999999999998</v>
      </c>
      <c r="I154" t="s">
        <v>701</v>
      </c>
      <c r="J154" t="s">
        <v>500</v>
      </c>
      <c r="K154" t="s">
        <v>1080</v>
      </c>
      <c r="L154" s="483" t="str">
        <f t="shared" si="8"/>
        <v>SP - Palmares Paulista</v>
      </c>
      <c r="M154" s="478">
        <f>VLOOKUP(L154,'Res Nº5.290'!A:B,2,FALSE)</f>
        <v>0.47638888888888892</v>
      </c>
      <c r="N154" s="487">
        <f>(Tabela5[[#This Row],[Horas]]-INT(Tabela5[[#This Row],[Horas]]))*24</f>
        <v>11.433333333333334</v>
      </c>
      <c r="O154">
        <v>2.7</v>
      </c>
    </row>
    <row r="155" spans="1:15" x14ac:dyDescent="0.25">
      <c r="A155" t="s">
        <v>668</v>
      </c>
      <c r="B155" t="s">
        <v>495</v>
      </c>
      <c r="C155" t="s">
        <v>1081</v>
      </c>
      <c r="D155" t="str">
        <f t="shared" si="7"/>
        <v>RS - Novo Barreiro</v>
      </c>
      <c r="E155" s="482">
        <f>VLOOKUP(D155,'Res Nº5.290'!A:B,2,)</f>
        <v>0.47500000000000003</v>
      </c>
      <c r="F155" s="485">
        <f>(Tabela4[[#This Row],[Horas]]-INT(Tabela4[[#This Row],[Horas]]))*24</f>
        <v>11.4</v>
      </c>
      <c r="G155">
        <v>2.2999999999999998</v>
      </c>
      <c r="I155" t="s">
        <v>701</v>
      </c>
      <c r="J155" t="s">
        <v>500</v>
      </c>
      <c r="K155" t="s">
        <v>1082</v>
      </c>
      <c r="L155" s="483" t="str">
        <f t="shared" si="8"/>
        <v>SP - Paraíso</v>
      </c>
      <c r="M155" s="478">
        <f>VLOOKUP(L155,'Res Nº5.290'!A:B,2,FALSE)</f>
        <v>0.47638888888888892</v>
      </c>
      <c r="N155" s="487">
        <f>(Tabela5[[#This Row],[Horas]]-INT(Tabela5[[#This Row],[Horas]]))*24</f>
        <v>11.433333333333334</v>
      </c>
      <c r="O155">
        <v>2.7</v>
      </c>
    </row>
    <row r="156" spans="1:15" x14ac:dyDescent="0.25">
      <c r="A156" t="s">
        <v>668</v>
      </c>
      <c r="B156" t="s">
        <v>495</v>
      </c>
      <c r="C156" t="s">
        <v>1083</v>
      </c>
      <c r="D156" t="str">
        <f t="shared" si="7"/>
        <v>RS - Novo Machado</v>
      </c>
      <c r="E156" s="482">
        <f>VLOOKUP(D156,'Res Nº5.290'!A:B,2,)</f>
        <v>0.47500000000000003</v>
      </c>
      <c r="F156" s="485">
        <f>(Tabela4[[#This Row],[Horas]]-INT(Tabela4[[#This Row],[Horas]]))*24</f>
        <v>11.4</v>
      </c>
      <c r="G156">
        <v>2.2999999999999998</v>
      </c>
      <c r="I156" t="s">
        <v>701</v>
      </c>
      <c r="J156" t="s">
        <v>500</v>
      </c>
      <c r="K156" t="s">
        <v>1084</v>
      </c>
      <c r="L156" s="483" t="str">
        <f t="shared" si="8"/>
        <v>SP - Pardinho</v>
      </c>
      <c r="M156" s="478">
        <f>VLOOKUP(L156,'Res Nº5.290'!A:B,2,FALSE)</f>
        <v>0.47638888888888892</v>
      </c>
      <c r="N156" s="487">
        <f>(Tabela5[[#This Row],[Horas]]-INT(Tabela5[[#This Row],[Horas]]))*24</f>
        <v>11.433333333333334</v>
      </c>
      <c r="O156">
        <v>2.7</v>
      </c>
    </row>
    <row r="157" spans="1:15" x14ac:dyDescent="0.25">
      <c r="A157" t="s">
        <v>668</v>
      </c>
      <c r="B157" t="s">
        <v>495</v>
      </c>
      <c r="C157" t="s">
        <v>1085</v>
      </c>
      <c r="D157" t="str">
        <f t="shared" si="7"/>
        <v>RS - Novo Xingu</v>
      </c>
      <c r="E157" s="482">
        <f>VLOOKUP(D157,'Res Nº5.290'!A:B,2,)</f>
        <v>0.47500000000000003</v>
      </c>
      <c r="F157" s="485">
        <f>(Tabela4[[#This Row],[Horas]]-INT(Tabela4[[#This Row],[Horas]]))*24</f>
        <v>11.4</v>
      </c>
      <c r="G157">
        <v>2.2999999999999998</v>
      </c>
      <c r="I157" t="s">
        <v>701</v>
      </c>
      <c r="J157" t="s">
        <v>500</v>
      </c>
      <c r="K157" t="s">
        <v>1086</v>
      </c>
      <c r="L157" s="483" t="str">
        <f t="shared" si="8"/>
        <v>SP - Patrocínio Paulista</v>
      </c>
      <c r="M157" s="478">
        <f>VLOOKUP(L157,'Res Nº5.290'!A:B,2,FALSE)</f>
        <v>0.4770833333333333</v>
      </c>
      <c r="N157" s="487">
        <f>(Tabela5[[#This Row],[Horas]]-INT(Tabela5[[#This Row],[Horas]]))*24</f>
        <v>11.45</v>
      </c>
      <c r="O157">
        <v>2.7</v>
      </c>
    </row>
    <row r="158" spans="1:15" x14ac:dyDescent="0.25">
      <c r="A158" t="s">
        <v>668</v>
      </c>
      <c r="B158" t="s">
        <v>495</v>
      </c>
      <c r="C158" t="s">
        <v>1087</v>
      </c>
      <c r="D158" t="str">
        <f t="shared" si="7"/>
        <v>RS - Paim Filho</v>
      </c>
      <c r="E158" s="482">
        <f>VLOOKUP(D158,'Res Nº5.290'!A:B,2,)</f>
        <v>0.47500000000000003</v>
      </c>
      <c r="F158" s="485">
        <f>(Tabela4[[#This Row],[Horas]]-INT(Tabela4[[#This Row],[Horas]]))*24</f>
        <v>11.4</v>
      </c>
      <c r="G158">
        <v>2.2999999999999998</v>
      </c>
      <c r="I158" t="s">
        <v>701</v>
      </c>
      <c r="J158" t="s">
        <v>500</v>
      </c>
      <c r="K158" t="s">
        <v>1088</v>
      </c>
      <c r="L158" s="483" t="str">
        <f t="shared" si="8"/>
        <v>SP - Paulínia</v>
      </c>
      <c r="M158" s="478">
        <f>VLOOKUP(L158,'Res Nº5.290'!A:B,2,FALSE)</f>
        <v>0.47638888888888892</v>
      </c>
      <c r="N158" s="487">
        <f>(Tabela5[[#This Row],[Horas]]-INT(Tabela5[[#This Row],[Horas]]))*24</f>
        <v>11.433333333333334</v>
      </c>
      <c r="O158">
        <v>2.7</v>
      </c>
    </row>
    <row r="159" spans="1:15" x14ac:dyDescent="0.25">
      <c r="A159" t="s">
        <v>668</v>
      </c>
      <c r="B159" t="s">
        <v>495</v>
      </c>
      <c r="C159" t="s">
        <v>1089</v>
      </c>
      <c r="D159" t="str">
        <f t="shared" si="7"/>
        <v>RS - Palmeira das Missões</v>
      </c>
      <c r="E159" s="482">
        <f>VLOOKUP(D159,'Res Nº5.290'!A:B,2,)</f>
        <v>0.47500000000000003</v>
      </c>
      <c r="F159" s="485">
        <f>(Tabela4[[#This Row],[Horas]]-INT(Tabela4[[#This Row],[Horas]]))*24</f>
        <v>11.4</v>
      </c>
      <c r="G159">
        <v>2.2999999999999998</v>
      </c>
      <c r="I159" t="s">
        <v>701</v>
      </c>
      <c r="J159" t="s">
        <v>500</v>
      </c>
      <c r="K159" t="s">
        <v>1090</v>
      </c>
      <c r="L159" s="483" t="str">
        <f t="shared" si="8"/>
        <v>SP - Paulistânia</v>
      </c>
      <c r="M159" s="478">
        <f>VLOOKUP(L159,'Res Nº5.290'!A:B,2,FALSE)</f>
        <v>0.47638888888888892</v>
      </c>
      <c r="N159" s="487">
        <f>(Tabela5[[#This Row],[Horas]]-INT(Tabela5[[#This Row],[Horas]]))*24</f>
        <v>11.433333333333334</v>
      </c>
      <c r="O159">
        <v>2.7</v>
      </c>
    </row>
    <row r="160" spans="1:15" x14ac:dyDescent="0.25">
      <c r="A160" t="s">
        <v>668</v>
      </c>
      <c r="B160" t="s">
        <v>495</v>
      </c>
      <c r="C160" t="s">
        <v>1091</v>
      </c>
      <c r="D160" t="str">
        <f t="shared" si="7"/>
        <v>RS - Palmitinho</v>
      </c>
      <c r="E160" s="482">
        <f>VLOOKUP(D160,'Res Nº5.290'!A:B,2,)</f>
        <v>0.47569444444444442</v>
      </c>
      <c r="F160" s="485">
        <f>(Tabela4[[#This Row],[Horas]]-INT(Tabela4[[#This Row],[Horas]]))*24</f>
        <v>11.416666666666666</v>
      </c>
      <c r="G160">
        <v>2.2999999999999998</v>
      </c>
      <c r="I160" t="s">
        <v>701</v>
      </c>
      <c r="J160" t="s">
        <v>500</v>
      </c>
      <c r="K160" t="s">
        <v>1092</v>
      </c>
      <c r="L160" s="483" t="str">
        <f t="shared" si="8"/>
        <v>SP - Pederneiras</v>
      </c>
      <c r="M160" s="478">
        <f>VLOOKUP(L160,'Res Nº5.290'!A:B,2,FALSE)</f>
        <v>0.47638888888888892</v>
      </c>
      <c r="N160" s="487">
        <f>(Tabela5[[#This Row],[Horas]]-INT(Tabela5[[#This Row],[Horas]]))*24</f>
        <v>11.433333333333334</v>
      </c>
      <c r="O160">
        <v>2.7</v>
      </c>
    </row>
    <row r="161" spans="1:15" x14ac:dyDescent="0.25">
      <c r="A161" t="s">
        <v>668</v>
      </c>
      <c r="B161" t="s">
        <v>495</v>
      </c>
      <c r="C161" t="s">
        <v>1093</v>
      </c>
      <c r="D161" t="str">
        <f t="shared" si="7"/>
        <v>RS - Paraí</v>
      </c>
      <c r="E161" s="482">
        <f>VLOOKUP(D161,'Res Nº5.290'!A:B,2,)</f>
        <v>0.47500000000000003</v>
      </c>
      <c r="F161" s="485">
        <f>(Tabela4[[#This Row],[Horas]]-INT(Tabela4[[#This Row],[Horas]]))*24</f>
        <v>11.4</v>
      </c>
      <c r="G161">
        <v>2.2999999999999998</v>
      </c>
      <c r="I161" t="s">
        <v>701</v>
      </c>
      <c r="J161" t="s">
        <v>500</v>
      </c>
      <c r="K161" t="s">
        <v>1094</v>
      </c>
      <c r="L161" s="483" t="str">
        <f t="shared" si="8"/>
        <v>SP - Pedregulho</v>
      </c>
      <c r="M161" s="478">
        <f>VLOOKUP(L161,'Res Nº5.290'!A:B,2,FALSE)</f>
        <v>0.4770833333333333</v>
      </c>
      <c r="N161" s="487">
        <f>(Tabela5[[#This Row],[Horas]]-INT(Tabela5[[#This Row],[Horas]]))*24</f>
        <v>11.45</v>
      </c>
      <c r="O161">
        <v>2.7</v>
      </c>
    </row>
    <row r="162" spans="1:15" x14ac:dyDescent="0.25">
      <c r="A162" t="s">
        <v>668</v>
      </c>
      <c r="B162" t="s">
        <v>495</v>
      </c>
      <c r="C162" t="s">
        <v>1095</v>
      </c>
      <c r="D162" t="str">
        <f t="shared" si="7"/>
        <v>RS - Parobé</v>
      </c>
      <c r="E162" s="482">
        <f>VLOOKUP(D162,'Res Nº5.290'!A:B,2,)</f>
        <v>0.47500000000000003</v>
      </c>
      <c r="F162" s="485">
        <f>(Tabela4[[#This Row],[Horas]]-INT(Tabela4[[#This Row],[Horas]]))*24</f>
        <v>11.4</v>
      </c>
      <c r="G162">
        <v>2.2999999999999998</v>
      </c>
      <c r="I162" t="s">
        <v>701</v>
      </c>
      <c r="J162" t="s">
        <v>500</v>
      </c>
      <c r="K162" t="s">
        <v>1096</v>
      </c>
      <c r="L162" s="483" t="str">
        <f t="shared" si="8"/>
        <v>SP - Penápolis</v>
      </c>
      <c r="M162" s="478">
        <f>VLOOKUP(L162,'Res Nº5.290'!A:B,2,FALSE)</f>
        <v>0.47638888888888892</v>
      </c>
      <c r="N162" s="487">
        <f>(Tabela5[[#This Row],[Horas]]-INT(Tabela5[[#This Row],[Horas]]))*24</f>
        <v>11.433333333333334</v>
      </c>
      <c r="O162">
        <v>2.7</v>
      </c>
    </row>
    <row r="163" spans="1:15" x14ac:dyDescent="0.25">
      <c r="A163" t="s">
        <v>668</v>
      </c>
      <c r="B163" t="s">
        <v>495</v>
      </c>
      <c r="C163" t="s">
        <v>1097</v>
      </c>
      <c r="D163" t="str">
        <f t="shared" si="7"/>
        <v>RS - Passo Fundo</v>
      </c>
      <c r="E163" s="482">
        <f>VLOOKUP(D163,'Res Nº5.290'!A:B,2,)</f>
        <v>0.47500000000000003</v>
      </c>
      <c r="F163" s="485">
        <f>(Tabela4[[#This Row],[Horas]]-INT(Tabela4[[#This Row],[Horas]]))*24</f>
        <v>11.4</v>
      </c>
      <c r="G163">
        <v>2.2999999999999998</v>
      </c>
      <c r="I163" t="s">
        <v>701</v>
      </c>
      <c r="J163" t="s">
        <v>500</v>
      </c>
      <c r="K163" t="s">
        <v>1098</v>
      </c>
      <c r="L163" s="483" t="str">
        <f t="shared" si="8"/>
        <v>SP - Piacatu</v>
      </c>
      <c r="M163" s="478">
        <f>VLOOKUP(L163,'Res Nº5.290'!A:B,2,FALSE)</f>
        <v>0.47638888888888892</v>
      </c>
      <c r="N163" s="487">
        <f>(Tabela5[[#This Row],[Horas]]-INT(Tabela5[[#This Row],[Horas]]))*24</f>
        <v>11.433333333333334</v>
      </c>
      <c r="O163">
        <v>2.7</v>
      </c>
    </row>
    <row r="164" spans="1:15" x14ac:dyDescent="0.25">
      <c r="A164" t="s">
        <v>668</v>
      </c>
      <c r="B164" t="s">
        <v>495</v>
      </c>
      <c r="C164" t="s">
        <v>1099</v>
      </c>
      <c r="D164" t="str">
        <f t="shared" si="7"/>
        <v>RS - Paulo Bento</v>
      </c>
      <c r="E164" s="482">
        <f>VLOOKUP(D164,'Res Nº5.290'!A:B,2,)</f>
        <v>0.47500000000000003</v>
      </c>
      <c r="F164" s="485">
        <f>(Tabela4[[#This Row],[Horas]]-INT(Tabela4[[#This Row],[Horas]]))*24</f>
        <v>11.4</v>
      </c>
      <c r="G164">
        <v>2.2999999999999998</v>
      </c>
      <c r="I164" t="s">
        <v>701</v>
      </c>
      <c r="J164" t="s">
        <v>500</v>
      </c>
      <c r="K164" t="s">
        <v>1100</v>
      </c>
      <c r="L164" s="483" t="str">
        <f t="shared" si="8"/>
        <v>SP - Pindorama</v>
      </c>
      <c r="M164" s="478">
        <f>VLOOKUP(L164,'Res Nº5.290'!A:B,2,FALSE)</f>
        <v>0.47638888888888892</v>
      </c>
      <c r="N164" s="487">
        <f>(Tabela5[[#This Row],[Horas]]-INT(Tabela5[[#This Row],[Horas]]))*24</f>
        <v>11.433333333333334</v>
      </c>
      <c r="O164">
        <v>2.7</v>
      </c>
    </row>
    <row r="165" spans="1:15" x14ac:dyDescent="0.25">
      <c r="A165" t="s">
        <v>668</v>
      </c>
      <c r="B165" t="s">
        <v>495</v>
      </c>
      <c r="C165" t="s">
        <v>1101</v>
      </c>
      <c r="D165" t="str">
        <f t="shared" si="7"/>
        <v>RS - Pejuçara</v>
      </c>
      <c r="E165" s="482">
        <f>VLOOKUP(D165,'Res Nº5.290'!A:B,2,)</f>
        <v>0.47500000000000003</v>
      </c>
      <c r="F165" s="485">
        <f>(Tabela4[[#This Row],[Horas]]-INT(Tabela4[[#This Row],[Horas]]))*24</f>
        <v>11.4</v>
      </c>
      <c r="G165">
        <v>2.2999999999999998</v>
      </c>
      <c r="I165" t="s">
        <v>701</v>
      </c>
      <c r="J165" t="s">
        <v>500</v>
      </c>
      <c r="K165" t="s">
        <v>1102</v>
      </c>
      <c r="L165" s="483" t="str">
        <f t="shared" si="8"/>
        <v>SP - Piracicaba</v>
      </c>
      <c r="M165" s="478">
        <f>VLOOKUP(L165,'Res Nº5.290'!A:B,2,FALSE)</f>
        <v>0.47638888888888892</v>
      </c>
      <c r="N165" s="487">
        <f>(Tabela5[[#This Row],[Horas]]-INT(Tabela5[[#This Row],[Horas]]))*24</f>
        <v>11.433333333333334</v>
      </c>
      <c r="O165">
        <v>2.7</v>
      </c>
    </row>
    <row r="166" spans="1:15" x14ac:dyDescent="0.25">
      <c r="A166" t="s">
        <v>668</v>
      </c>
      <c r="B166" t="s">
        <v>495</v>
      </c>
      <c r="C166" t="s">
        <v>1103</v>
      </c>
      <c r="D166" t="str">
        <f t="shared" si="7"/>
        <v>RS - Picada Café</v>
      </c>
      <c r="E166" s="482">
        <f>VLOOKUP(D166,'Res Nº5.290'!A:B,2,)</f>
        <v>0.47500000000000003</v>
      </c>
      <c r="F166" s="485">
        <f>(Tabela4[[#This Row],[Horas]]-INT(Tabela4[[#This Row],[Horas]]))*24</f>
        <v>11.4</v>
      </c>
      <c r="G166">
        <v>2.2999999999999998</v>
      </c>
      <c r="I166" t="s">
        <v>701</v>
      </c>
      <c r="J166" t="s">
        <v>500</v>
      </c>
      <c r="K166" t="s">
        <v>1104</v>
      </c>
      <c r="L166" s="483" t="str">
        <f t="shared" si="8"/>
        <v>SP - Pirajuí</v>
      </c>
      <c r="M166" s="478">
        <f>VLOOKUP(L166,'Res Nº5.290'!A:B,2,FALSE)</f>
        <v>0.47638888888888892</v>
      </c>
      <c r="N166" s="487">
        <f>(Tabela5[[#This Row],[Horas]]-INT(Tabela5[[#This Row],[Horas]]))*24</f>
        <v>11.433333333333334</v>
      </c>
      <c r="O166">
        <v>2.7</v>
      </c>
    </row>
    <row r="167" spans="1:15" x14ac:dyDescent="0.25">
      <c r="A167" t="s">
        <v>668</v>
      </c>
      <c r="B167" t="s">
        <v>495</v>
      </c>
      <c r="C167" t="s">
        <v>1105</v>
      </c>
      <c r="D167" t="str">
        <f t="shared" si="7"/>
        <v>RS - Pinhal da Serra</v>
      </c>
      <c r="E167" s="482">
        <f>VLOOKUP(D167,'Res Nº5.290'!A:B,2,)</f>
        <v>0.47500000000000003</v>
      </c>
      <c r="F167" s="485">
        <f>(Tabela4[[#This Row],[Horas]]-INT(Tabela4[[#This Row],[Horas]]))*24</f>
        <v>11.4</v>
      </c>
      <c r="G167">
        <v>2.2999999999999998</v>
      </c>
      <c r="I167" t="s">
        <v>701</v>
      </c>
      <c r="J167" t="s">
        <v>500</v>
      </c>
      <c r="K167" t="s">
        <v>1106</v>
      </c>
      <c r="L167" s="483" t="str">
        <f t="shared" si="8"/>
        <v>SP - Pirangi</v>
      </c>
      <c r="M167" s="478">
        <f>VLOOKUP(L167,'Res Nº5.290'!A:B,2,FALSE)</f>
        <v>0.47638888888888892</v>
      </c>
      <c r="N167" s="487">
        <f>(Tabela5[[#This Row],[Horas]]-INT(Tabela5[[#This Row],[Horas]]))*24</f>
        <v>11.433333333333334</v>
      </c>
      <c r="O167">
        <v>2.7</v>
      </c>
    </row>
    <row r="168" spans="1:15" x14ac:dyDescent="0.25">
      <c r="A168" t="s">
        <v>668</v>
      </c>
      <c r="B168" t="s">
        <v>495</v>
      </c>
      <c r="C168" t="s">
        <v>1107</v>
      </c>
      <c r="D168" t="str">
        <f t="shared" si="7"/>
        <v>RS - Pinhal Grande</v>
      </c>
      <c r="E168" s="482">
        <f>VLOOKUP(D168,'Res Nº5.290'!A:B,2,)</f>
        <v>0.47500000000000003</v>
      </c>
      <c r="F168" s="485">
        <f>(Tabela4[[#This Row],[Horas]]-INT(Tabela4[[#This Row],[Horas]]))*24</f>
        <v>11.4</v>
      </c>
      <c r="G168">
        <v>2.2999999999999998</v>
      </c>
      <c r="I168" t="s">
        <v>701</v>
      </c>
      <c r="J168" t="s">
        <v>500</v>
      </c>
      <c r="K168" t="s">
        <v>703</v>
      </c>
      <c r="L168" s="483" t="str">
        <f t="shared" si="8"/>
        <v>SP - Piratininga</v>
      </c>
      <c r="M168" s="478">
        <f>VLOOKUP(L168,'Res Nº5.290'!A:B,2,FALSE)</f>
        <v>0.47638888888888892</v>
      </c>
      <c r="N168" s="487">
        <f>(Tabela5[[#This Row],[Horas]]-INT(Tabela5[[#This Row],[Horas]]))*24</f>
        <v>11.433333333333334</v>
      </c>
      <c r="O168">
        <v>2.7</v>
      </c>
    </row>
    <row r="169" spans="1:15" x14ac:dyDescent="0.25">
      <c r="A169" t="s">
        <v>668</v>
      </c>
      <c r="B169" t="s">
        <v>495</v>
      </c>
      <c r="C169" t="s">
        <v>1108</v>
      </c>
      <c r="D169" t="str">
        <f t="shared" si="7"/>
        <v>RS - Pinheirinho do Vale</v>
      </c>
      <c r="E169" s="482">
        <f>VLOOKUP(D169,'Res Nº5.290'!A:B,2,)</f>
        <v>0.47569444444444442</v>
      </c>
      <c r="F169" s="485">
        <f>(Tabela4[[#This Row],[Horas]]-INT(Tabela4[[#This Row],[Horas]]))*24</f>
        <v>11.416666666666666</v>
      </c>
      <c r="G169">
        <v>2.2999999999999998</v>
      </c>
      <c r="I169" t="s">
        <v>701</v>
      </c>
      <c r="J169" t="s">
        <v>500</v>
      </c>
      <c r="K169" t="s">
        <v>1109</v>
      </c>
      <c r="L169" s="483" t="str">
        <f t="shared" si="8"/>
        <v>SP - Pitangueiras</v>
      </c>
      <c r="M169" s="478">
        <f>VLOOKUP(L169,'Res Nº5.290'!A:B,2,FALSE)</f>
        <v>0.47638888888888892</v>
      </c>
      <c r="N169" s="487">
        <f>(Tabela5[[#This Row],[Horas]]-INT(Tabela5[[#This Row],[Horas]]))*24</f>
        <v>11.433333333333334</v>
      </c>
      <c r="O169">
        <v>2.7</v>
      </c>
    </row>
    <row r="170" spans="1:15" x14ac:dyDescent="0.25">
      <c r="A170" t="s">
        <v>668</v>
      </c>
      <c r="B170" t="s">
        <v>495</v>
      </c>
      <c r="C170" t="s">
        <v>1110</v>
      </c>
      <c r="D170" t="str">
        <f t="shared" si="7"/>
        <v>RS - Pirapó</v>
      </c>
      <c r="E170" s="482">
        <f>VLOOKUP(D170,'Res Nº5.290'!A:B,2,)</f>
        <v>0.47500000000000003</v>
      </c>
      <c r="F170" s="485">
        <f>(Tabela4[[#This Row],[Horas]]-INT(Tabela4[[#This Row],[Horas]]))*24</f>
        <v>11.4</v>
      </c>
      <c r="G170">
        <v>2.2999999999999998</v>
      </c>
      <c r="I170" t="s">
        <v>701</v>
      </c>
      <c r="J170" t="s">
        <v>500</v>
      </c>
      <c r="K170" t="s">
        <v>1111</v>
      </c>
      <c r="L170" s="483" t="str">
        <f t="shared" si="8"/>
        <v>SP - Poloni</v>
      </c>
      <c r="M170" s="478">
        <f>VLOOKUP(L170,'Res Nº5.290'!A:B,2,FALSE)</f>
        <v>0.4770833333333333</v>
      </c>
      <c r="N170" s="487">
        <f>(Tabela5[[#This Row],[Horas]]-INT(Tabela5[[#This Row],[Horas]]))*24</f>
        <v>11.45</v>
      </c>
      <c r="O170">
        <v>2.7</v>
      </c>
    </row>
    <row r="171" spans="1:15" x14ac:dyDescent="0.25">
      <c r="A171" t="s">
        <v>668</v>
      </c>
      <c r="B171" t="s">
        <v>495</v>
      </c>
      <c r="C171" t="s">
        <v>1112</v>
      </c>
      <c r="D171" t="str">
        <f t="shared" si="7"/>
        <v>RS - Planalto</v>
      </c>
      <c r="E171" s="482">
        <f>VLOOKUP(D171,'Res Nº5.290'!A:B,2,)</f>
        <v>0.47569444444444442</v>
      </c>
      <c r="F171" s="485">
        <f>(Tabela4[[#This Row],[Horas]]-INT(Tabela4[[#This Row],[Horas]]))*24</f>
        <v>11.416666666666666</v>
      </c>
      <c r="G171">
        <v>2.2999999999999998</v>
      </c>
      <c r="I171" t="s">
        <v>701</v>
      </c>
      <c r="J171" t="s">
        <v>500</v>
      </c>
      <c r="K171" t="s">
        <v>1113</v>
      </c>
      <c r="L171" s="483" t="str">
        <f t="shared" si="8"/>
        <v>SP - Pompéia</v>
      </c>
      <c r="M171" s="478">
        <f>VLOOKUP(L171,'Res Nº5.290'!A:B,2,FALSE)</f>
        <v>0.47638888888888892</v>
      </c>
      <c r="N171" s="487">
        <f>(Tabela5[[#This Row],[Horas]]-INT(Tabela5[[#This Row],[Horas]]))*24</f>
        <v>11.433333333333334</v>
      </c>
      <c r="O171">
        <v>2.7</v>
      </c>
    </row>
    <row r="172" spans="1:15" x14ac:dyDescent="0.25">
      <c r="A172" t="s">
        <v>668</v>
      </c>
      <c r="B172" t="s">
        <v>495</v>
      </c>
      <c r="C172" t="s">
        <v>1114</v>
      </c>
      <c r="D172" t="str">
        <f t="shared" si="7"/>
        <v>RS - Ponte Preta</v>
      </c>
      <c r="E172" s="482">
        <f>VLOOKUP(D172,'Res Nº5.290'!A:B,2,)</f>
        <v>0.47500000000000003</v>
      </c>
      <c r="F172" s="485">
        <f>(Tabela4[[#This Row],[Horas]]-INT(Tabela4[[#This Row],[Horas]]))*24</f>
        <v>11.4</v>
      </c>
      <c r="G172">
        <v>2.2999999999999998</v>
      </c>
      <c r="I172" t="s">
        <v>701</v>
      </c>
      <c r="J172" t="s">
        <v>500</v>
      </c>
      <c r="K172" t="s">
        <v>1115</v>
      </c>
      <c r="L172" s="483" t="str">
        <f t="shared" si="8"/>
        <v>SP - Pongaí</v>
      </c>
      <c r="M172" s="478">
        <f>VLOOKUP(L172,'Res Nº5.290'!A:B,2,FALSE)</f>
        <v>0.47638888888888892</v>
      </c>
      <c r="N172" s="487">
        <f>(Tabela5[[#This Row],[Horas]]-INT(Tabela5[[#This Row],[Horas]]))*24</f>
        <v>11.433333333333334</v>
      </c>
      <c r="O172">
        <v>2.7</v>
      </c>
    </row>
    <row r="173" spans="1:15" x14ac:dyDescent="0.25">
      <c r="A173" t="s">
        <v>668</v>
      </c>
      <c r="B173" t="s">
        <v>495</v>
      </c>
      <c r="C173" t="s">
        <v>1116</v>
      </c>
      <c r="D173" t="str">
        <f t="shared" si="7"/>
        <v>RS - Porto Lucena</v>
      </c>
      <c r="E173" s="482">
        <f>VLOOKUP(D173,'Res Nº5.290'!A:B,2,)</f>
        <v>0.47500000000000003</v>
      </c>
      <c r="F173" s="485">
        <f>(Tabela4[[#This Row],[Horas]]-INT(Tabela4[[#This Row],[Horas]]))*24</f>
        <v>11.4</v>
      </c>
      <c r="G173">
        <v>2.2999999999999998</v>
      </c>
      <c r="I173" t="s">
        <v>701</v>
      </c>
      <c r="J173" t="s">
        <v>500</v>
      </c>
      <c r="K173" t="s">
        <v>1117</v>
      </c>
      <c r="L173" s="483" t="str">
        <f t="shared" si="8"/>
        <v>SP - Pontal</v>
      </c>
      <c r="M173" s="478">
        <f>VLOOKUP(L173,'Res Nº5.290'!A:B,2,FALSE)</f>
        <v>0.47638888888888892</v>
      </c>
      <c r="N173" s="487">
        <f>(Tabela5[[#This Row],[Horas]]-INT(Tabela5[[#This Row],[Horas]]))*24</f>
        <v>11.433333333333334</v>
      </c>
      <c r="O173">
        <v>2.7</v>
      </c>
    </row>
    <row r="174" spans="1:15" x14ac:dyDescent="0.25">
      <c r="A174" t="s">
        <v>668</v>
      </c>
      <c r="B174" t="s">
        <v>495</v>
      </c>
      <c r="C174" t="s">
        <v>1118</v>
      </c>
      <c r="D174" t="str">
        <f t="shared" si="7"/>
        <v>RS - Porto Mauá</v>
      </c>
      <c r="E174" s="482">
        <f>VLOOKUP(D174,'Res Nº5.290'!A:B,2,)</f>
        <v>0.47500000000000003</v>
      </c>
      <c r="F174" s="485">
        <f>(Tabela4[[#This Row],[Horas]]-INT(Tabela4[[#This Row],[Horas]]))*24</f>
        <v>11.4</v>
      </c>
      <c r="G174">
        <v>2.2999999999999998</v>
      </c>
      <c r="I174" t="s">
        <v>701</v>
      </c>
      <c r="J174" t="s">
        <v>500</v>
      </c>
      <c r="K174" t="s">
        <v>1119</v>
      </c>
      <c r="L174" s="483" t="str">
        <f t="shared" si="8"/>
        <v>SP - Potirendaba</v>
      </c>
      <c r="M174" s="478">
        <f>VLOOKUP(L174,'Res Nº5.290'!A:B,2,FALSE)</f>
        <v>0.47638888888888892</v>
      </c>
      <c r="N174" s="487">
        <f>(Tabela5[[#This Row],[Horas]]-INT(Tabela5[[#This Row],[Horas]]))*24</f>
        <v>11.433333333333334</v>
      </c>
      <c r="O174">
        <v>2.7</v>
      </c>
    </row>
    <row r="175" spans="1:15" x14ac:dyDescent="0.25">
      <c r="A175" t="s">
        <v>668</v>
      </c>
      <c r="B175" t="s">
        <v>495</v>
      </c>
      <c r="C175" t="s">
        <v>1120</v>
      </c>
      <c r="D175" t="str">
        <f t="shared" si="7"/>
        <v>RS - Porto Vera Cruz</v>
      </c>
      <c r="E175" s="482">
        <f>VLOOKUP(D175,'Res Nº5.290'!A:B,2,)</f>
        <v>0.47500000000000003</v>
      </c>
      <c r="F175" s="485">
        <f>(Tabela4[[#This Row],[Horas]]-INT(Tabela4[[#This Row],[Horas]]))*24</f>
        <v>11.4</v>
      </c>
      <c r="G175">
        <v>2.2999999999999998</v>
      </c>
      <c r="I175" t="s">
        <v>701</v>
      </c>
      <c r="J175" t="s">
        <v>500</v>
      </c>
      <c r="K175" t="s">
        <v>1121</v>
      </c>
      <c r="L175" s="483" t="str">
        <f t="shared" si="8"/>
        <v>SP - Pradópolis</v>
      </c>
      <c r="M175" s="478">
        <f>VLOOKUP(L175,'Res Nº5.290'!A:B,2,FALSE)</f>
        <v>0.47638888888888892</v>
      </c>
      <c r="N175" s="487">
        <f>(Tabela5[[#This Row],[Horas]]-INT(Tabela5[[#This Row],[Horas]]))*24</f>
        <v>11.433333333333334</v>
      </c>
      <c r="O175">
        <v>2.7</v>
      </c>
    </row>
    <row r="176" spans="1:15" x14ac:dyDescent="0.25">
      <c r="A176" t="s">
        <v>668</v>
      </c>
      <c r="B176" t="s">
        <v>495</v>
      </c>
      <c r="C176" t="s">
        <v>1122</v>
      </c>
      <c r="D176" t="str">
        <f t="shared" si="7"/>
        <v>RS - Porto Xavier</v>
      </c>
      <c r="E176" s="482">
        <f>VLOOKUP(D176,'Res Nº5.290'!A:B,2,)</f>
        <v>0.47500000000000003</v>
      </c>
      <c r="F176" s="485">
        <f>(Tabela4[[#This Row],[Horas]]-INT(Tabela4[[#This Row],[Horas]]))*24</f>
        <v>11.4</v>
      </c>
      <c r="G176">
        <v>2.2999999999999998</v>
      </c>
      <c r="I176" t="s">
        <v>701</v>
      </c>
      <c r="J176" t="s">
        <v>500</v>
      </c>
      <c r="K176" t="s">
        <v>1123</v>
      </c>
      <c r="L176" s="483" t="str">
        <f t="shared" si="8"/>
        <v>SP - Pratânia</v>
      </c>
      <c r="M176" s="478">
        <f>VLOOKUP(L176,'Res Nº5.290'!A:B,2,FALSE)</f>
        <v>0.47638888888888892</v>
      </c>
      <c r="N176" s="487">
        <f>(Tabela5[[#This Row],[Horas]]-INT(Tabela5[[#This Row],[Horas]]))*24</f>
        <v>11.433333333333334</v>
      </c>
      <c r="O176">
        <v>2.7</v>
      </c>
    </row>
    <row r="177" spans="1:15" x14ac:dyDescent="0.25">
      <c r="A177" t="s">
        <v>668</v>
      </c>
      <c r="B177" t="s">
        <v>495</v>
      </c>
      <c r="C177" t="s">
        <v>1124</v>
      </c>
      <c r="D177" t="str">
        <f t="shared" si="7"/>
        <v>RS - Protásio Alves</v>
      </c>
      <c r="E177" s="482">
        <f>VLOOKUP(D177,'Res Nº5.290'!A:B,2,)</f>
        <v>0.47500000000000003</v>
      </c>
      <c r="F177" s="485">
        <f>(Tabela4[[#This Row],[Horas]]-INT(Tabela4[[#This Row],[Horas]]))*24</f>
        <v>11.4</v>
      </c>
      <c r="G177">
        <v>2.2999999999999998</v>
      </c>
      <c r="I177" t="s">
        <v>701</v>
      </c>
      <c r="J177" t="s">
        <v>500</v>
      </c>
      <c r="K177" t="s">
        <v>1125</v>
      </c>
      <c r="L177" s="483" t="str">
        <f t="shared" si="8"/>
        <v>SP - Presidente Alves</v>
      </c>
      <c r="M177" s="478">
        <f>VLOOKUP(L177,'Res Nº5.290'!A:B,2,FALSE)</f>
        <v>0.47638888888888892</v>
      </c>
      <c r="N177" s="487">
        <f>(Tabela5[[#This Row],[Horas]]-INT(Tabela5[[#This Row],[Horas]]))*24</f>
        <v>11.433333333333334</v>
      </c>
      <c r="O177">
        <v>2.7</v>
      </c>
    </row>
    <row r="178" spans="1:15" x14ac:dyDescent="0.25">
      <c r="A178" t="s">
        <v>668</v>
      </c>
      <c r="B178" t="s">
        <v>495</v>
      </c>
      <c r="C178" t="s">
        <v>1126</v>
      </c>
      <c r="D178" t="str">
        <f t="shared" si="7"/>
        <v>RS - Putinga</v>
      </c>
      <c r="E178" s="482">
        <f>VLOOKUP(D178,'Res Nº5.290'!A:B,2,)</f>
        <v>0.47500000000000003</v>
      </c>
      <c r="F178" s="485">
        <f>(Tabela4[[#This Row],[Horas]]-INT(Tabela4[[#This Row],[Horas]]))*24</f>
        <v>11.4</v>
      </c>
      <c r="G178">
        <v>2.2999999999999998</v>
      </c>
      <c r="I178" t="s">
        <v>701</v>
      </c>
      <c r="J178" t="s">
        <v>500</v>
      </c>
      <c r="K178" t="s">
        <v>1127</v>
      </c>
      <c r="L178" s="483" t="str">
        <f t="shared" si="8"/>
        <v>SP - Promissão</v>
      </c>
      <c r="M178" s="478">
        <f>VLOOKUP(L178,'Res Nº5.290'!A:B,2,FALSE)</f>
        <v>0.47638888888888892</v>
      </c>
      <c r="N178" s="487">
        <f>(Tabela5[[#This Row],[Horas]]-INT(Tabela5[[#This Row],[Horas]]))*24</f>
        <v>11.433333333333334</v>
      </c>
      <c r="O178">
        <v>2.7</v>
      </c>
    </row>
    <row r="179" spans="1:15" x14ac:dyDescent="0.25">
      <c r="A179" t="s">
        <v>668</v>
      </c>
      <c r="B179" t="s">
        <v>495</v>
      </c>
      <c r="C179" t="s">
        <v>1128</v>
      </c>
      <c r="D179" t="str">
        <f t="shared" si="7"/>
        <v>RS - Quatro Irmãos</v>
      </c>
      <c r="E179" s="482">
        <f>VLOOKUP(D179,'Res Nº5.290'!A:B,2,)</f>
        <v>0.47500000000000003</v>
      </c>
      <c r="F179" s="485">
        <f>(Tabela4[[#This Row],[Horas]]-INT(Tabela4[[#This Row],[Horas]]))*24</f>
        <v>11.4</v>
      </c>
      <c r="G179">
        <v>2.2999999999999998</v>
      </c>
      <c r="I179" t="s">
        <v>701</v>
      </c>
      <c r="J179" t="s">
        <v>500</v>
      </c>
      <c r="K179" t="s">
        <v>1129</v>
      </c>
      <c r="L179" s="483" t="str">
        <f t="shared" si="8"/>
        <v>SP - Queiroz</v>
      </c>
      <c r="M179" s="478">
        <f>VLOOKUP(L179,'Res Nº5.290'!A:B,2,FALSE)</f>
        <v>0.47638888888888892</v>
      </c>
      <c r="N179" s="487">
        <f>(Tabela5[[#This Row],[Horas]]-INT(Tabela5[[#This Row],[Horas]]))*24</f>
        <v>11.433333333333334</v>
      </c>
      <c r="O179">
        <v>2.7</v>
      </c>
    </row>
    <row r="180" spans="1:15" x14ac:dyDescent="0.25">
      <c r="A180" t="s">
        <v>668</v>
      </c>
      <c r="B180" t="s">
        <v>495</v>
      </c>
      <c r="C180" t="s">
        <v>1130</v>
      </c>
      <c r="D180" t="str">
        <f t="shared" si="7"/>
        <v>RS - Quinze de Novembro</v>
      </c>
      <c r="E180" s="482">
        <f>VLOOKUP(D180,'Res Nº5.290'!A:B,2,)</f>
        <v>0.47500000000000003</v>
      </c>
      <c r="F180" s="485">
        <f>(Tabela4[[#This Row],[Horas]]-INT(Tabela4[[#This Row],[Horas]]))*24</f>
        <v>11.4</v>
      </c>
      <c r="G180">
        <v>2.2999999999999998</v>
      </c>
      <c r="I180" t="s">
        <v>701</v>
      </c>
      <c r="J180" t="s">
        <v>500</v>
      </c>
      <c r="K180" t="s">
        <v>1131</v>
      </c>
      <c r="L180" s="483" t="str">
        <f t="shared" si="8"/>
        <v>SP - Quintana</v>
      </c>
      <c r="M180" s="478">
        <f>VLOOKUP(L180,'Res Nº5.290'!A:B,2,FALSE)</f>
        <v>0.47638888888888892</v>
      </c>
      <c r="N180" s="487">
        <f>(Tabela5[[#This Row],[Horas]]-INT(Tabela5[[#This Row],[Horas]]))*24</f>
        <v>11.433333333333334</v>
      </c>
      <c r="O180">
        <v>2.7</v>
      </c>
    </row>
    <row r="181" spans="1:15" x14ac:dyDescent="0.25">
      <c r="A181" t="s">
        <v>668</v>
      </c>
      <c r="B181" t="s">
        <v>495</v>
      </c>
      <c r="C181" t="s">
        <v>1132</v>
      </c>
      <c r="D181" t="str">
        <f t="shared" si="7"/>
        <v>RS - Redentora</v>
      </c>
      <c r="E181" s="482">
        <f>VLOOKUP(D181,'Res Nº5.290'!A:B,2,)</f>
        <v>0.47500000000000003</v>
      </c>
      <c r="F181" s="485">
        <f>(Tabela4[[#This Row],[Horas]]-INT(Tabela4[[#This Row],[Horas]]))*24</f>
        <v>11.4</v>
      </c>
      <c r="G181">
        <v>2.2999999999999998</v>
      </c>
      <c r="I181" t="s">
        <v>701</v>
      </c>
      <c r="J181" t="s">
        <v>500</v>
      </c>
      <c r="K181" t="s">
        <v>1133</v>
      </c>
      <c r="L181" s="483" t="str">
        <f t="shared" si="8"/>
        <v>SP - Rafard</v>
      </c>
      <c r="M181" s="478">
        <f>VLOOKUP(L181,'Res Nº5.290'!A:B,2,FALSE)</f>
        <v>0.47638888888888892</v>
      </c>
      <c r="N181" s="487">
        <f>(Tabela5[[#This Row],[Horas]]-INT(Tabela5[[#This Row],[Horas]]))*24</f>
        <v>11.433333333333334</v>
      </c>
      <c r="O181">
        <v>2.7</v>
      </c>
    </row>
    <row r="182" spans="1:15" x14ac:dyDescent="0.25">
      <c r="A182" t="s">
        <v>668</v>
      </c>
      <c r="B182" t="s">
        <v>495</v>
      </c>
      <c r="C182" t="s">
        <v>1134</v>
      </c>
      <c r="D182" t="str">
        <f t="shared" si="7"/>
        <v>RS - Rio dos Índios</v>
      </c>
      <c r="E182" s="482">
        <f>VLOOKUP(D182,'Res Nº5.290'!A:B,2,)</f>
        <v>0.47569444444444442</v>
      </c>
      <c r="F182" s="485">
        <f>(Tabela4[[#This Row],[Horas]]-INT(Tabela4[[#This Row],[Horas]]))*24</f>
        <v>11.416666666666666</v>
      </c>
      <c r="G182">
        <v>2.2999999999999998</v>
      </c>
      <c r="I182" t="s">
        <v>701</v>
      </c>
      <c r="J182" t="s">
        <v>500</v>
      </c>
      <c r="K182" t="s">
        <v>1135</v>
      </c>
      <c r="L182" s="483" t="str">
        <f t="shared" si="8"/>
        <v>SP - Reginópolis</v>
      </c>
      <c r="M182" s="478">
        <f>VLOOKUP(L182,'Res Nº5.290'!A:B,2,FALSE)</f>
        <v>0.47638888888888892</v>
      </c>
      <c r="N182" s="487">
        <f>(Tabela5[[#This Row],[Horas]]-INT(Tabela5[[#This Row],[Horas]]))*24</f>
        <v>11.433333333333334</v>
      </c>
      <c r="O182">
        <v>2.7</v>
      </c>
    </row>
    <row r="183" spans="1:15" x14ac:dyDescent="0.25">
      <c r="A183" t="s">
        <v>668</v>
      </c>
      <c r="B183" t="s">
        <v>495</v>
      </c>
      <c r="C183" t="s">
        <v>1136</v>
      </c>
      <c r="D183" t="str">
        <f t="shared" si="7"/>
        <v>RS - Riozinho</v>
      </c>
      <c r="E183" s="482">
        <f>VLOOKUP(D183,'Res Nº5.290'!A:B,2,)</f>
        <v>0.47500000000000003</v>
      </c>
      <c r="F183" s="485">
        <f>(Tabela4[[#This Row],[Horas]]-INT(Tabela4[[#This Row],[Horas]]))*24</f>
        <v>11.4</v>
      </c>
      <c r="G183">
        <v>2.2999999999999998</v>
      </c>
      <c r="I183" t="s">
        <v>701</v>
      </c>
      <c r="J183" t="s">
        <v>500</v>
      </c>
      <c r="K183" t="s">
        <v>1137</v>
      </c>
      <c r="L183" s="483" t="str">
        <f t="shared" si="8"/>
        <v>SP - Restinga</v>
      </c>
      <c r="M183" s="478">
        <f>VLOOKUP(L183,'Res Nº5.290'!A:B,2,FALSE)</f>
        <v>0.4770833333333333</v>
      </c>
      <c r="N183" s="487">
        <f>(Tabela5[[#This Row],[Horas]]-INT(Tabela5[[#This Row],[Horas]]))*24</f>
        <v>11.45</v>
      </c>
      <c r="O183">
        <v>2.7</v>
      </c>
    </row>
    <row r="184" spans="1:15" x14ac:dyDescent="0.25">
      <c r="A184" t="s">
        <v>668</v>
      </c>
      <c r="B184" t="s">
        <v>495</v>
      </c>
      <c r="C184" t="s">
        <v>1138</v>
      </c>
      <c r="D184" t="str">
        <f t="shared" si="7"/>
        <v>RS - Rolador</v>
      </c>
      <c r="E184" s="482">
        <f>VLOOKUP(D184,'Res Nº5.290'!A:B,2,)</f>
        <v>0.47500000000000003</v>
      </c>
      <c r="F184" s="485">
        <f>(Tabela4[[#This Row],[Horas]]-INT(Tabela4[[#This Row],[Horas]]))*24</f>
        <v>11.4</v>
      </c>
      <c r="G184">
        <v>2.2999999999999998</v>
      </c>
      <c r="I184" t="s">
        <v>701</v>
      </c>
      <c r="J184" t="s">
        <v>500</v>
      </c>
      <c r="K184" t="s">
        <v>1139</v>
      </c>
      <c r="L184" s="483" t="str">
        <f t="shared" si="8"/>
        <v>SP - Ribeirão Bonito</v>
      </c>
      <c r="M184" s="478">
        <f>VLOOKUP(L184,'Res Nº5.290'!A:B,2,FALSE)</f>
        <v>0.47638888888888892</v>
      </c>
      <c r="N184" s="487">
        <f>(Tabela5[[#This Row],[Horas]]-INT(Tabela5[[#This Row],[Horas]]))*24</f>
        <v>11.433333333333334</v>
      </c>
      <c r="O184">
        <v>2.7</v>
      </c>
    </row>
    <row r="185" spans="1:15" x14ac:dyDescent="0.25">
      <c r="A185" t="s">
        <v>668</v>
      </c>
      <c r="B185" t="s">
        <v>495</v>
      </c>
      <c r="C185" t="s">
        <v>1140</v>
      </c>
      <c r="D185" t="str">
        <f t="shared" si="7"/>
        <v>RS - Rolante</v>
      </c>
      <c r="E185" s="482">
        <f>VLOOKUP(D185,'Res Nº5.290'!A:B,2,)</f>
        <v>0.47500000000000003</v>
      </c>
      <c r="F185" s="485">
        <f>(Tabela4[[#This Row],[Horas]]-INT(Tabela4[[#This Row],[Horas]]))*24</f>
        <v>11.4</v>
      </c>
      <c r="G185">
        <v>2.2999999999999998</v>
      </c>
      <c r="I185" t="s">
        <v>701</v>
      </c>
      <c r="J185" t="s">
        <v>500</v>
      </c>
      <c r="K185" t="s">
        <v>1141</v>
      </c>
      <c r="L185" s="483" t="str">
        <f t="shared" si="8"/>
        <v>SP - Ribeirão Corrente</v>
      </c>
      <c r="M185" s="478">
        <f>VLOOKUP(L185,'Res Nº5.290'!A:B,2,FALSE)</f>
        <v>0.4770833333333333</v>
      </c>
      <c r="N185" s="487">
        <f>(Tabela5[[#This Row],[Horas]]-INT(Tabela5[[#This Row],[Horas]]))*24</f>
        <v>11.45</v>
      </c>
      <c r="O185">
        <v>2.7</v>
      </c>
    </row>
    <row r="186" spans="1:15" x14ac:dyDescent="0.25">
      <c r="A186" t="s">
        <v>668</v>
      </c>
      <c r="B186" t="s">
        <v>495</v>
      </c>
      <c r="C186" t="s">
        <v>1142</v>
      </c>
      <c r="D186" t="str">
        <f t="shared" si="7"/>
        <v>RS - Ronda Alta</v>
      </c>
      <c r="E186" s="482">
        <f>VLOOKUP(D186,'Res Nº5.290'!A:B,2,)</f>
        <v>0.47500000000000003</v>
      </c>
      <c r="F186" s="485">
        <f>(Tabela4[[#This Row],[Horas]]-INT(Tabela4[[#This Row],[Horas]]))*24</f>
        <v>11.4</v>
      </c>
      <c r="G186">
        <v>2.2999999999999998</v>
      </c>
      <c r="I186" t="s">
        <v>701</v>
      </c>
      <c r="J186" t="s">
        <v>500</v>
      </c>
      <c r="K186" t="s">
        <v>1143</v>
      </c>
      <c r="L186" s="483" t="str">
        <f t="shared" si="8"/>
        <v>SP - Ribeirão Preto</v>
      </c>
      <c r="M186" s="478">
        <f>VLOOKUP(L186,'Res Nº5.290'!A:B,2,FALSE)</f>
        <v>0.47638888888888892</v>
      </c>
      <c r="N186" s="487">
        <f>(Tabela5[[#This Row],[Horas]]-INT(Tabela5[[#This Row],[Horas]]))*24</f>
        <v>11.433333333333334</v>
      </c>
      <c r="O186">
        <v>2.7</v>
      </c>
    </row>
    <row r="187" spans="1:15" x14ac:dyDescent="0.25">
      <c r="A187" t="s">
        <v>668</v>
      </c>
      <c r="B187" t="s">
        <v>495</v>
      </c>
      <c r="C187" t="s">
        <v>1144</v>
      </c>
      <c r="D187" t="str">
        <f t="shared" si="7"/>
        <v>RS - Rondinha</v>
      </c>
      <c r="E187" s="482">
        <f>VLOOKUP(D187,'Res Nº5.290'!A:B,2,)</f>
        <v>0.47500000000000003</v>
      </c>
      <c r="F187" s="485">
        <f>(Tabela4[[#This Row],[Horas]]-INT(Tabela4[[#This Row],[Horas]]))*24</f>
        <v>11.4</v>
      </c>
      <c r="G187">
        <v>2.2999999999999998</v>
      </c>
      <c r="I187" t="s">
        <v>701</v>
      </c>
      <c r="J187" t="s">
        <v>500</v>
      </c>
      <c r="K187" t="s">
        <v>1145</v>
      </c>
      <c r="L187" s="483" t="str">
        <f t="shared" si="8"/>
        <v>SP - Rifaina</v>
      </c>
      <c r="M187" s="478">
        <f>VLOOKUP(L187,'Res Nº5.290'!A:B,2,FALSE)</f>
        <v>0.4770833333333333</v>
      </c>
      <c r="N187" s="487">
        <f>(Tabela5[[#This Row],[Horas]]-INT(Tabela5[[#This Row],[Horas]]))*24</f>
        <v>11.45</v>
      </c>
      <c r="O187">
        <v>2.7</v>
      </c>
    </row>
    <row r="188" spans="1:15" x14ac:dyDescent="0.25">
      <c r="A188" t="s">
        <v>668</v>
      </c>
      <c r="B188" t="s">
        <v>495</v>
      </c>
      <c r="C188" t="s">
        <v>1146</v>
      </c>
      <c r="D188" t="str">
        <f t="shared" si="7"/>
        <v>RS - Roque Gonzales</v>
      </c>
      <c r="E188" s="482">
        <f>VLOOKUP(D188,'Res Nº5.290'!A:B,2,)</f>
        <v>0.47500000000000003</v>
      </c>
      <c r="F188" s="485">
        <f>(Tabela4[[#This Row],[Horas]]-INT(Tabela4[[#This Row],[Horas]]))*24</f>
        <v>11.4</v>
      </c>
      <c r="G188">
        <v>2.2999999999999998</v>
      </c>
      <c r="I188" t="s">
        <v>701</v>
      </c>
      <c r="J188" t="s">
        <v>500</v>
      </c>
      <c r="K188" t="s">
        <v>1147</v>
      </c>
      <c r="L188" s="483" t="str">
        <f t="shared" si="8"/>
        <v>SP - Rincão</v>
      </c>
      <c r="M188" s="478">
        <f>VLOOKUP(L188,'Res Nº5.290'!A:B,2,FALSE)</f>
        <v>0.47638888888888892</v>
      </c>
      <c r="N188" s="487">
        <f>(Tabela5[[#This Row],[Horas]]-INT(Tabela5[[#This Row],[Horas]]))*24</f>
        <v>11.433333333333334</v>
      </c>
      <c r="O188">
        <v>2.7</v>
      </c>
    </row>
    <row r="189" spans="1:15" x14ac:dyDescent="0.25">
      <c r="A189" t="s">
        <v>668</v>
      </c>
      <c r="B189" t="s">
        <v>495</v>
      </c>
      <c r="C189" t="s">
        <v>1148</v>
      </c>
      <c r="D189" t="str">
        <f t="shared" si="7"/>
        <v>RS - Sagrada Família</v>
      </c>
      <c r="E189" s="482">
        <f>VLOOKUP(D189,'Res Nº5.290'!A:B,2,)</f>
        <v>0.47500000000000003</v>
      </c>
      <c r="F189" s="485">
        <f>(Tabela4[[#This Row],[Horas]]-INT(Tabela4[[#This Row],[Horas]]))*24</f>
        <v>11.4</v>
      </c>
      <c r="G189">
        <v>2.2999999999999998</v>
      </c>
      <c r="I189" t="s">
        <v>701</v>
      </c>
      <c r="J189" t="s">
        <v>500</v>
      </c>
      <c r="K189" t="s">
        <v>1149</v>
      </c>
      <c r="L189" s="483" t="str">
        <f t="shared" si="8"/>
        <v>SP - Rio das Pedras</v>
      </c>
      <c r="M189" s="478">
        <f>VLOOKUP(L189,'Res Nº5.290'!A:B,2,FALSE)</f>
        <v>0.47638888888888892</v>
      </c>
      <c r="N189" s="487">
        <f>(Tabela5[[#This Row],[Horas]]-INT(Tabela5[[#This Row],[Horas]]))*24</f>
        <v>11.433333333333334</v>
      </c>
      <c r="O189">
        <v>2.7</v>
      </c>
    </row>
    <row r="190" spans="1:15" x14ac:dyDescent="0.25">
      <c r="A190" t="s">
        <v>668</v>
      </c>
      <c r="B190" t="s">
        <v>495</v>
      </c>
      <c r="C190" t="s">
        <v>1150</v>
      </c>
      <c r="D190" t="str">
        <f t="shared" si="7"/>
        <v>RS - Saldanha Marinho</v>
      </c>
      <c r="E190" s="482">
        <f>VLOOKUP(D190,'Res Nº5.290'!A:B,2,)</f>
        <v>0.47500000000000003</v>
      </c>
      <c r="F190" s="485">
        <f>(Tabela4[[#This Row],[Horas]]-INT(Tabela4[[#This Row],[Horas]]))*24</f>
        <v>11.4</v>
      </c>
      <c r="G190">
        <v>2.2999999999999998</v>
      </c>
      <c r="I190" t="s">
        <v>701</v>
      </c>
      <c r="J190" t="s">
        <v>500</v>
      </c>
      <c r="K190" t="s">
        <v>1151</v>
      </c>
      <c r="L190" s="483" t="str">
        <f t="shared" si="8"/>
        <v>SP - Rubiácea</v>
      </c>
      <c r="M190" s="478">
        <f>VLOOKUP(L190,'Res Nº5.290'!A:B,2,FALSE)</f>
        <v>0.47638888888888892</v>
      </c>
      <c r="N190" s="487">
        <f>(Tabela5[[#This Row],[Horas]]-INT(Tabela5[[#This Row],[Horas]]))*24</f>
        <v>11.433333333333334</v>
      </c>
      <c r="O190">
        <v>2.7</v>
      </c>
    </row>
    <row r="191" spans="1:15" x14ac:dyDescent="0.25">
      <c r="A191" t="s">
        <v>668</v>
      </c>
      <c r="B191" t="s">
        <v>495</v>
      </c>
      <c r="C191" t="s">
        <v>1152</v>
      </c>
      <c r="D191" t="str">
        <f t="shared" si="7"/>
        <v>RS - Salto do Jacuí</v>
      </c>
      <c r="E191" s="482">
        <f>VLOOKUP(D191,'Res Nº5.290'!A:B,2,)</f>
        <v>0.47500000000000003</v>
      </c>
      <c r="F191" s="485">
        <f>(Tabela4[[#This Row],[Horas]]-INT(Tabela4[[#This Row],[Horas]]))*24</f>
        <v>11.4</v>
      </c>
      <c r="G191">
        <v>2.2999999999999998</v>
      </c>
      <c r="I191" t="s">
        <v>701</v>
      </c>
      <c r="J191" t="s">
        <v>500</v>
      </c>
      <c r="K191" t="s">
        <v>1153</v>
      </c>
      <c r="L191" s="483" t="str">
        <f t="shared" si="8"/>
        <v>SP - Sabino</v>
      </c>
      <c r="M191" s="478">
        <f>VLOOKUP(L191,'Res Nº5.290'!A:B,2,FALSE)</f>
        <v>0.47638888888888892</v>
      </c>
      <c r="N191" s="487">
        <f>(Tabela5[[#This Row],[Horas]]-INT(Tabela5[[#This Row],[Horas]]))*24</f>
        <v>11.433333333333334</v>
      </c>
      <c r="O191">
        <v>2.7</v>
      </c>
    </row>
    <row r="192" spans="1:15" x14ac:dyDescent="0.25">
      <c r="A192" t="s">
        <v>668</v>
      </c>
      <c r="B192" t="s">
        <v>495</v>
      </c>
      <c r="C192" t="s">
        <v>1154</v>
      </c>
      <c r="D192" t="str">
        <f t="shared" si="7"/>
        <v>RS - Salvador das Missões</v>
      </c>
      <c r="E192" s="482">
        <f>VLOOKUP(D192,'Res Nº5.290'!A:B,2,)</f>
        <v>0.47500000000000003</v>
      </c>
      <c r="F192" s="485">
        <f>(Tabela4[[#This Row],[Horas]]-INT(Tabela4[[#This Row],[Horas]]))*24</f>
        <v>11.4</v>
      </c>
      <c r="G192">
        <v>2.2999999999999998</v>
      </c>
      <c r="I192" t="s">
        <v>701</v>
      </c>
      <c r="J192" t="s">
        <v>500</v>
      </c>
      <c r="K192" t="s">
        <v>1155</v>
      </c>
      <c r="L192" s="483" t="str">
        <f t="shared" si="8"/>
        <v>SP - Sales Oliveira</v>
      </c>
      <c r="M192" s="478">
        <f>VLOOKUP(L192,'Res Nº5.290'!A:B,2,FALSE)</f>
        <v>0.4770833333333333</v>
      </c>
      <c r="N192" s="487">
        <f>(Tabela5[[#This Row],[Horas]]-INT(Tabela5[[#This Row],[Horas]]))*24</f>
        <v>11.45</v>
      </c>
      <c r="O192">
        <v>2.7</v>
      </c>
    </row>
    <row r="193" spans="1:15" x14ac:dyDescent="0.25">
      <c r="A193" t="s">
        <v>668</v>
      </c>
      <c r="B193" t="s">
        <v>495</v>
      </c>
      <c r="C193" t="s">
        <v>1156</v>
      </c>
      <c r="D193" t="str">
        <f t="shared" si="7"/>
        <v>RS - Sananduva</v>
      </c>
      <c r="E193" s="482">
        <f>VLOOKUP(D193,'Res Nº5.290'!A:B,2,)</f>
        <v>0.47500000000000003</v>
      </c>
      <c r="F193" s="485">
        <f>(Tabela4[[#This Row],[Horas]]-INT(Tabela4[[#This Row],[Horas]]))*24</f>
        <v>11.4</v>
      </c>
      <c r="G193">
        <v>2.2999999999999998</v>
      </c>
      <c r="I193" t="s">
        <v>701</v>
      </c>
      <c r="J193" t="s">
        <v>500</v>
      </c>
      <c r="K193" t="s">
        <v>1157</v>
      </c>
      <c r="L193" s="483" t="str">
        <f t="shared" si="8"/>
        <v>SP - Saltinho</v>
      </c>
      <c r="M193" s="478">
        <f>VLOOKUP(L193,'Res Nº5.290'!A:B,2,FALSE)</f>
        <v>0.47638888888888892</v>
      </c>
      <c r="N193" s="487">
        <f>(Tabela5[[#This Row],[Horas]]-INT(Tabela5[[#This Row],[Horas]]))*24</f>
        <v>11.433333333333334</v>
      </c>
      <c r="O193">
        <v>2.7</v>
      </c>
    </row>
    <row r="194" spans="1:15" x14ac:dyDescent="0.25">
      <c r="A194" t="s">
        <v>668</v>
      </c>
      <c r="B194" t="s">
        <v>495</v>
      </c>
      <c r="C194" t="s">
        <v>1158</v>
      </c>
      <c r="D194" t="str">
        <f t="shared" ref="D194:D257" si="9">CONCATENATE(B194," - ",C194)</f>
        <v>RS - Santa Bárbara do Sul</v>
      </c>
      <c r="E194" s="482">
        <f>VLOOKUP(D194,'Res Nº5.290'!A:B,2,)</f>
        <v>0.47500000000000003</v>
      </c>
      <c r="F194" s="485">
        <f>(Tabela4[[#This Row],[Horas]]-INT(Tabela4[[#This Row],[Horas]]))*24</f>
        <v>11.4</v>
      </c>
      <c r="G194">
        <v>2.2999999999999998</v>
      </c>
      <c r="I194" t="s">
        <v>701</v>
      </c>
      <c r="J194" t="s">
        <v>500</v>
      </c>
      <c r="K194" t="s">
        <v>1159</v>
      </c>
      <c r="L194" s="483" t="str">
        <f t="shared" ref="L194:L235" si="10">CONCATENATE(J194," - ",K194)</f>
        <v>SP - Santa Adélia</v>
      </c>
      <c r="M194" s="478">
        <f>VLOOKUP(L194,'Res Nº5.290'!A:B,2,FALSE)</f>
        <v>0.47638888888888892</v>
      </c>
      <c r="N194" s="487">
        <f>(Tabela5[[#This Row],[Horas]]-INT(Tabela5[[#This Row],[Horas]]))*24</f>
        <v>11.433333333333334</v>
      </c>
      <c r="O194">
        <v>2.7</v>
      </c>
    </row>
    <row r="195" spans="1:15" x14ac:dyDescent="0.25">
      <c r="A195" t="s">
        <v>668</v>
      </c>
      <c r="B195" t="s">
        <v>495</v>
      </c>
      <c r="C195" t="s">
        <v>1160</v>
      </c>
      <c r="D195" t="str">
        <f t="shared" si="9"/>
        <v>RS - Santa Rosa</v>
      </c>
      <c r="E195" s="482">
        <f>VLOOKUP(D195,'Res Nº5.290'!A:B,2,)</f>
        <v>0.47500000000000003</v>
      </c>
      <c r="F195" s="485">
        <f>(Tabela4[[#This Row],[Horas]]-INT(Tabela4[[#This Row],[Horas]]))*24</f>
        <v>11.4</v>
      </c>
      <c r="G195">
        <v>2.2999999999999998</v>
      </c>
      <c r="I195" t="s">
        <v>701</v>
      </c>
      <c r="J195" t="s">
        <v>500</v>
      </c>
      <c r="K195" t="s">
        <v>1161</v>
      </c>
      <c r="L195" s="483" t="str">
        <f t="shared" si="10"/>
        <v>SP - Santa Bárbara d´Oeste</v>
      </c>
      <c r="M195" s="478" t="e">
        <f>VLOOKUP(L195,'Res Nº5.290'!A:B,2,FALSE)</f>
        <v>#N/A</v>
      </c>
      <c r="N195" s="487" t="e">
        <f>(Tabela5[[#This Row],[Horas]]-INT(Tabela5[[#This Row],[Horas]]))*24</f>
        <v>#N/A</v>
      </c>
      <c r="O195">
        <v>2.7</v>
      </c>
    </row>
    <row r="196" spans="1:15" x14ac:dyDescent="0.25">
      <c r="A196" t="s">
        <v>668</v>
      </c>
      <c r="B196" t="s">
        <v>495</v>
      </c>
      <c r="C196" t="s">
        <v>1162</v>
      </c>
      <c r="D196" t="str">
        <f t="shared" si="9"/>
        <v>RS - Santa Tereza</v>
      </c>
      <c r="E196" s="482">
        <f>VLOOKUP(D196,'Res Nº5.290'!A:B,2,)</f>
        <v>0.47500000000000003</v>
      </c>
      <c r="F196" s="485">
        <f>(Tabela4[[#This Row],[Horas]]-INT(Tabela4[[#This Row],[Horas]]))*24</f>
        <v>11.4</v>
      </c>
      <c r="G196">
        <v>2.2999999999999998</v>
      </c>
      <c r="I196" t="s">
        <v>701</v>
      </c>
      <c r="J196" t="s">
        <v>500</v>
      </c>
      <c r="K196" t="s">
        <v>1163</v>
      </c>
      <c r="L196" s="483" t="str">
        <f t="shared" si="10"/>
        <v>SP - Santa Cruz da Esperança</v>
      </c>
      <c r="M196" s="478">
        <f>VLOOKUP(L196,'Res Nº5.290'!A:B,2,FALSE)</f>
        <v>0.47638888888888892</v>
      </c>
      <c r="N196" s="487">
        <f>(Tabela5[[#This Row],[Horas]]-INT(Tabela5[[#This Row],[Horas]]))*24</f>
        <v>11.433333333333334</v>
      </c>
      <c r="O196">
        <v>2.7</v>
      </c>
    </row>
    <row r="197" spans="1:15" x14ac:dyDescent="0.25">
      <c r="A197" t="s">
        <v>668</v>
      </c>
      <c r="B197" t="s">
        <v>495</v>
      </c>
      <c r="C197" t="s">
        <v>1164</v>
      </c>
      <c r="D197" t="str">
        <f t="shared" si="9"/>
        <v>RS - Santo Ângelo</v>
      </c>
      <c r="E197" s="482">
        <f>VLOOKUP(D197,'Res Nº5.290'!A:B,2,)</f>
        <v>0.47500000000000003</v>
      </c>
      <c r="F197" s="485">
        <f>(Tabela4[[#This Row],[Horas]]-INT(Tabela4[[#This Row],[Horas]]))*24</f>
        <v>11.4</v>
      </c>
      <c r="G197">
        <v>2.2999999999999998</v>
      </c>
      <c r="I197" t="s">
        <v>701</v>
      </c>
      <c r="J197" t="s">
        <v>500</v>
      </c>
      <c r="K197" t="s">
        <v>1165</v>
      </c>
      <c r="L197" s="483" t="str">
        <f t="shared" si="10"/>
        <v>SP - Santa Ernestina</v>
      </c>
      <c r="M197" s="478">
        <f>VLOOKUP(L197,'Res Nº5.290'!A:B,2,FALSE)</f>
        <v>0.47638888888888892</v>
      </c>
      <c r="N197" s="487">
        <f>(Tabela5[[#This Row],[Horas]]-INT(Tabela5[[#This Row],[Horas]]))*24</f>
        <v>11.433333333333334</v>
      </c>
      <c r="O197">
        <v>2.7</v>
      </c>
    </row>
    <row r="198" spans="1:15" x14ac:dyDescent="0.25">
      <c r="A198" t="s">
        <v>668</v>
      </c>
      <c r="B198" t="s">
        <v>495</v>
      </c>
      <c r="C198" t="s">
        <v>1166</v>
      </c>
      <c r="D198" t="str">
        <f t="shared" si="9"/>
        <v>RS - Santo Antônio da Patrulha</v>
      </c>
      <c r="E198" s="482">
        <f>VLOOKUP(D198,'Res Nº5.290'!A:B,2,)</f>
        <v>0.47500000000000003</v>
      </c>
      <c r="F198" s="485">
        <f>(Tabela4[[#This Row],[Horas]]-INT(Tabela4[[#This Row],[Horas]]))*24</f>
        <v>11.4</v>
      </c>
      <c r="G198">
        <v>2.2999999999999998</v>
      </c>
      <c r="I198" t="s">
        <v>701</v>
      </c>
      <c r="J198" t="s">
        <v>500</v>
      </c>
      <c r="K198" t="s">
        <v>1167</v>
      </c>
      <c r="L198" s="483" t="str">
        <f t="shared" si="10"/>
        <v>SP - Santa Lúcia</v>
      </c>
      <c r="M198" s="478">
        <f>VLOOKUP(L198,'Res Nº5.290'!A:B,2,FALSE)</f>
        <v>0.47638888888888892</v>
      </c>
      <c r="N198" s="487">
        <f>(Tabela5[[#This Row],[Horas]]-INT(Tabela5[[#This Row],[Horas]]))*24</f>
        <v>11.433333333333334</v>
      </c>
      <c r="O198">
        <v>2.7</v>
      </c>
    </row>
    <row r="199" spans="1:15" x14ac:dyDescent="0.25">
      <c r="A199" t="s">
        <v>668</v>
      </c>
      <c r="B199" t="s">
        <v>495</v>
      </c>
      <c r="C199" t="s">
        <v>1168</v>
      </c>
      <c r="D199" t="str">
        <f t="shared" si="9"/>
        <v>RS - Santo Antônio do Palma</v>
      </c>
      <c r="E199" s="482">
        <f>VLOOKUP(D199,'Res Nº5.290'!A:B,2,)</f>
        <v>0.47500000000000003</v>
      </c>
      <c r="F199" s="485">
        <f>(Tabela4[[#This Row],[Horas]]-INT(Tabela4[[#This Row],[Horas]]))*24</f>
        <v>11.4</v>
      </c>
      <c r="G199">
        <v>2.2999999999999998</v>
      </c>
      <c r="I199" t="s">
        <v>701</v>
      </c>
      <c r="J199" t="s">
        <v>500</v>
      </c>
      <c r="K199" t="s">
        <v>1169</v>
      </c>
      <c r="L199" s="483" t="str">
        <f t="shared" si="10"/>
        <v>SP - Santa Maria da Serra</v>
      </c>
      <c r="M199" s="478">
        <f>VLOOKUP(L199,'Res Nº5.290'!A:B,2,FALSE)</f>
        <v>0.47638888888888892</v>
      </c>
      <c r="N199" s="487">
        <f>(Tabela5[[#This Row],[Horas]]-INT(Tabela5[[#This Row],[Horas]]))*24</f>
        <v>11.433333333333334</v>
      </c>
      <c r="O199">
        <v>2.7</v>
      </c>
    </row>
    <row r="200" spans="1:15" x14ac:dyDescent="0.25">
      <c r="A200" t="s">
        <v>668</v>
      </c>
      <c r="B200" t="s">
        <v>495</v>
      </c>
      <c r="C200" t="s">
        <v>1170</v>
      </c>
      <c r="D200" t="str">
        <f t="shared" si="9"/>
        <v>RS - Santo Augusto</v>
      </c>
      <c r="E200" s="482">
        <f>VLOOKUP(D200,'Res Nº5.290'!A:B,2,)</f>
        <v>0.47500000000000003</v>
      </c>
      <c r="F200" s="485">
        <f>(Tabela4[[#This Row],[Horas]]-INT(Tabela4[[#This Row],[Horas]]))*24</f>
        <v>11.4</v>
      </c>
      <c r="G200">
        <v>2.2999999999999998</v>
      </c>
      <c r="I200" t="s">
        <v>701</v>
      </c>
      <c r="J200" t="s">
        <v>500</v>
      </c>
      <c r="K200" t="s">
        <v>1171</v>
      </c>
      <c r="L200" s="483" t="str">
        <f t="shared" si="10"/>
        <v>SP - Santa Rosa de Viterbo</v>
      </c>
      <c r="M200" s="478">
        <f>VLOOKUP(L200,'Res Nº5.290'!A:B,2,FALSE)</f>
        <v>0.47638888888888892</v>
      </c>
      <c r="N200" s="487">
        <f>(Tabela5[[#This Row],[Horas]]-INT(Tabela5[[#This Row],[Horas]]))*24</f>
        <v>11.433333333333334</v>
      </c>
      <c r="O200">
        <v>2.7</v>
      </c>
    </row>
    <row r="201" spans="1:15" x14ac:dyDescent="0.25">
      <c r="A201" t="s">
        <v>668</v>
      </c>
      <c r="B201" t="s">
        <v>495</v>
      </c>
      <c r="C201" t="s">
        <v>1172</v>
      </c>
      <c r="D201" t="str">
        <f t="shared" si="9"/>
        <v>RS - Santo Cristo</v>
      </c>
      <c r="E201" s="482">
        <f>VLOOKUP(D201,'Res Nº5.290'!A:B,2,)</f>
        <v>0.47500000000000003</v>
      </c>
      <c r="F201" s="485">
        <f>(Tabela4[[#This Row],[Horas]]-INT(Tabela4[[#This Row],[Horas]]))*24</f>
        <v>11.4</v>
      </c>
      <c r="G201">
        <v>2.2999999999999998</v>
      </c>
      <c r="I201" t="s">
        <v>701</v>
      </c>
      <c r="J201" t="s">
        <v>500</v>
      </c>
      <c r="K201" t="s">
        <v>1173</v>
      </c>
      <c r="L201" s="483" t="str">
        <f t="shared" si="10"/>
        <v>SP - Santo Antônio da Alegria</v>
      </c>
      <c r="M201" s="478">
        <f>VLOOKUP(L201,'Res Nº5.290'!A:B,2,FALSE)</f>
        <v>0.47638888888888892</v>
      </c>
      <c r="N201" s="487">
        <f>(Tabela5[[#This Row],[Horas]]-INT(Tabela5[[#This Row],[Horas]]))*24</f>
        <v>11.433333333333334</v>
      </c>
      <c r="O201">
        <v>2.7</v>
      </c>
    </row>
    <row r="202" spans="1:15" x14ac:dyDescent="0.25">
      <c r="A202" t="s">
        <v>668</v>
      </c>
      <c r="B202" t="s">
        <v>495</v>
      </c>
      <c r="C202" t="s">
        <v>1174</v>
      </c>
      <c r="D202" t="str">
        <f t="shared" si="9"/>
        <v>RS - Santo Expedito do Sul</v>
      </c>
      <c r="E202" s="482">
        <f>VLOOKUP(D202,'Res Nº5.290'!A:B,2,)</f>
        <v>0.47500000000000003</v>
      </c>
      <c r="F202" s="485">
        <f>(Tabela4[[#This Row],[Horas]]-INT(Tabela4[[#This Row],[Horas]]))*24</f>
        <v>11.4</v>
      </c>
      <c r="G202">
        <v>2.2999999999999998</v>
      </c>
      <c r="I202" t="s">
        <v>701</v>
      </c>
      <c r="J202" t="s">
        <v>500</v>
      </c>
      <c r="K202" t="s">
        <v>1175</v>
      </c>
      <c r="L202" s="483" t="str">
        <f t="shared" si="10"/>
        <v>SP - Santo Antônio do Aracanguá</v>
      </c>
      <c r="M202" s="478">
        <f>VLOOKUP(L202,'Res Nº5.290'!A:B,2,FALSE)</f>
        <v>0.47638888888888892</v>
      </c>
      <c r="N202" s="487">
        <f>(Tabela5[[#This Row],[Horas]]-INT(Tabela5[[#This Row],[Horas]]))*24</f>
        <v>11.433333333333334</v>
      </c>
      <c r="O202">
        <v>2.7</v>
      </c>
    </row>
    <row r="203" spans="1:15" x14ac:dyDescent="0.25">
      <c r="A203" t="s">
        <v>668</v>
      </c>
      <c r="B203" t="s">
        <v>495</v>
      </c>
      <c r="C203" t="s">
        <v>1176</v>
      </c>
      <c r="D203" t="str">
        <f t="shared" si="9"/>
        <v>RS - São Domingos do Sul</v>
      </c>
      <c r="E203" s="482">
        <f>VLOOKUP(D203,'Res Nº5.290'!A:B,2,)</f>
        <v>0.47500000000000003</v>
      </c>
      <c r="F203" s="485">
        <f>(Tabela4[[#This Row],[Horas]]-INT(Tabela4[[#This Row],[Horas]]))*24</f>
        <v>11.4</v>
      </c>
      <c r="G203">
        <v>2.2999999999999998</v>
      </c>
      <c r="I203" t="s">
        <v>701</v>
      </c>
      <c r="J203" t="s">
        <v>500</v>
      </c>
      <c r="K203" t="s">
        <v>1177</v>
      </c>
      <c r="L203" s="483" t="str">
        <f t="shared" si="10"/>
        <v>SP - Santo Antônio do Jardim</v>
      </c>
      <c r="M203" s="478">
        <f>VLOOKUP(L203,'Res Nº5.290'!A:B,2,FALSE)</f>
        <v>0.47638888888888892</v>
      </c>
      <c r="N203" s="487">
        <f>(Tabela5[[#This Row],[Horas]]-INT(Tabela5[[#This Row],[Horas]]))*24</f>
        <v>11.433333333333334</v>
      </c>
      <c r="O203">
        <v>2.7</v>
      </c>
    </row>
    <row r="204" spans="1:15" x14ac:dyDescent="0.25">
      <c r="A204" t="s">
        <v>668</v>
      </c>
      <c r="B204" t="s">
        <v>495</v>
      </c>
      <c r="C204" t="s">
        <v>1178</v>
      </c>
      <c r="D204" t="str">
        <f t="shared" si="9"/>
        <v>RS - São Francisco de Paula</v>
      </c>
      <c r="E204" s="482">
        <f>VLOOKUP(D204,'Res Nº5.290'!A:B,2,)</f>
        <v>0.47500000000000003</v>
      </c>
      <c r="F204" s="485">
        <f>(Tabela4[[#This Row],[Horas]]-INT(Tabela4[[#This Row],[Horas]]))*24</f>
        <v>11.4</v>
      </c>
      <c r="G204">
        <v>2.2999999999999998</v>
      </c>
      <c r="I204" t="s">
        <v>701</v>
      </c>
      <c r="J204" t="s">
        <v>500</v>
      </c>
      <c r="K204" t="s">
        <v>1179</v>
      </c>
      <c r="L204" s="483" t="str">
        <f t="shared" si="10"/>
        <v>SP - Santópolis do Aguapeí</v>
      </c>
      <c r="M204" s="478">
        <f>VLOOKUP(L204,'Res Nº5.290'!A:B,2,FALSE)</f>
        <v>0.47638888888888892</v>
      </c>
      <c r="N204" s="487">
        <f>(Tabela5[[#This Row],[Horas]]-INT(Tabela5[[#This Row],[Horas]]))*24</f>
        <v>11.433333333333334</v>
      </c>
      <c r="O204">
        <v>2.7</v>
      </c>
    </row>
    <row r="205" spans="1:15" x14ac:dyDescent="0.25">
      <c r="A205" t="s">
        <v>668</v>
      </c>
      <c r="B205" t="s">
        <v>495</v>
      </c>
      <c r="C205" t="s">
        <v>1180</v>
      </c>
      <c r="D205" t="str">
        <f t="shared" si="9"/>
        <v>RS - São João da Urtiga</v>
      </c>
      <c r="E205" s="482">
        <f>VLOOKUP(D205,'Res Nº5.290'!A:B,2,)</f>
        <v>0.47500000000000003</v>
      </c>
      <c r="F205" s="485">
        <f>(Tabela4[[#This Row],[Horas]]-INT(Tabela4[[#This Row],[Horas]]))*24</f>
        <v>11.4</v>
      </c>
      <c r="G205">
        <v>2.2999999999999998</v>
      </c>
      <c r="I205" t="s">
        <v>701</v>
      </c>
      <c r="J205" t="s">
        <v>500</v>
      </c>
      <c r="K205" t="s">
        <v>1181</v>
      </c>
      <c r="L205" s="483" t="str">
        <f t="shared" si="10"/>
        <v>SP - São Carlos</v>
      </c>
      <c r="M205" s="478">
        <f>VLOOKUP(L205,'Res Nº5.290'!A:B,2,FALSE)</f>
        <v>0.47638888888888892</v>
      </c>
      <c r="N205" s="487">
        <f>(Tabela5[[#This Row],[Horas]]-INT(Tabela5[[#This Row],[Horas]]))*24</f>
        <v>11.433333333333334</v>
      </c>
      <c r="O205">
        <v>2.7</v>
      </c>
    </row>
    <row r="206" spans="1:15" x14ac:dyDescent="0.25">
      <c r="A206" t="s">
        <v>668</v>
      </c>
      <c r="B206" t="s">
        <v>495</v>
      </c>
      <c r="C206" t="s">
        <v>1182</v>
      </c>
      <c r="D206" t="str">
        <f t="shared" si="9"/>
        <v>RS - São Jorge</v>
      </c>
      <c r="E206" s="482">
        <f>VLOOKUP(D206,'Res Nº5.290'!A:B,2,)</f>
        <v>0.47500000000000003</v>
      </c>
      <c r="F206" s="485">
        <f>(Tabela4[[#This Row],[Horas]]-INT(Tabela4[[#This Row],[Horas]]))*24</f>
        <v>11.4</v>
      </c>
      <c r="G206">
        <v>2.2999999999999998</v>
      </c>
      <c r="I206" t="s">
        <v>701</v>
      </c>
      <c r="J206" t="s">
        <v>500</v>
      </c>
      <c r="K206" t="s">
        <v>1183</v>
      </c>
      <c r="L206" s="483" t="str">
        <f t="shared" si="10"/>
        <v>SP - São Joaquim da Barra</v>
      </c>
      <c r="M206" s="478">
        <f>VLOOKUP(L206,'Res Nº5.290'!A:B,2,FALSE)</f>
        <v>0.4770833333333333</v>
      </c>
      <c r="N206" s="487">
        <f>(Tabela5[[#This Row],[Horas]]-INT(Tabela5[[#This Row],[Horas]]))*24</f>
        <v>11.45</v>
      </c>
      <c r="O206">
        <v>2.7</v>
      </c>
    </row>
    <row r="207" spans="1:15" x14ac:dyDescent="0.25">
      <c r="A207" t="s">
        <v>668</v>
      </c>
      <c r="B207" t="s">
        <v>495</v>
      </c>
      <c r="C207" t="s">
        <v>1184</v>
      </c>
      <c r="D207" t="str">
        <f t="shared" si="9"/>
        <v>RS - São José das Missões</v>
      </c>
      <c r="E207" s="482">
        <f>VLOOKUP(D207,'Res Nº5.290'!A:B,2,)</f>
        <v>0.47500000000000003</v>
      </c>
      <c r="F207" s="485">
        <f>(Tabela4[[#This Row],[Horas]]-INT(Tabela4[[#This Row],[Horas]]))*24</f>
        <v>11.4</v>
      </c>
      <c r="G207">
        <v>2.2999999999999998</v>
      </c>
      <c r="I207" t="s">
        <v>701</v>
      </c>
      <c r="J207" t="s">
        <v>500</v>
      </c>
      <c r="K207" t="s">
        <v>1185</v>
      </c>
      <c r="L207" s="483" t="str">
        <f t="shared" si="10"/>
        <v>SP - São José da Bela Vista</v>
      </c>
      <c r="M207" s="478">
        <f>VLOOKUP(L207,'Res Nº5.290'!A:B,2,FALSE)</f>
        <v>0.4770833333333333</v>
      </c>
      <c r="N207" s="487">
        <f>(Tabela5[[#This Row],[Horas]]-INT(Tabela5[[#This Row],[Horas]]))*24</f>
        <v>11.45</v>
      </c>
      <c r="O207">
        <v>2.7</v>
      </c>
    </row>
    <row r="208" spans="1:15" x14ac:dyDescent="0.25">
      <c r="A208" t="s">
        <v>668</v>
      </c>
      <c r="B208" t="s">
        <v>495</v>
      </c>
      <c r="C208" t="s">
        <v>1186</v>
      </c>
      <c r="D208" t="str">
        <f t="shared" si="9"/>
        <v>RS - São José do Inhacorá</v>
      </c>
      <c r="E208" s="482">
        <f>VLOOKUP(D208,'Res Nº5.290'!A:B,2,)</f>
        <v>0.47500000000000003</v>
      </c>
      <c r="F208" s="485">
        <f>(Tabela4[[#This Row],[Horas]]-INT(Tabela4[[#This Row],[Horas]]))*24</f>
        <v>11.4</v>
      </c>
      <c r="G208">
        <v>2.2999999999999998</v>
      </c>
      <c r="I208" t="s">
        <v>701</v>
      </c>
      <c r="J208" t="s">
        <v>500</v>
      </c>
      <c r="K208" t="s">
        <v>1187</v>
      </c>
      <c r="L208" s="483" t="str">
        <f t="shared" si="10"/>
        <v>SP - São José do Rio Preto</v>
      </c>
      <c r="M208" s="478">
        <f>VLOOKUP(L208,'Res Nº5.290'!A:B,2,FALSE)</f>
        <v>0.4770833333333333</v>
      </c>
      <c r="N208" s="487">
        <f>(Tabela5[[#This Row],[Horas]]-INT(Tabela5[[#This Row],[Horas]]))*24</f>
        <v>11.45</v>
      </c>
      <c r="O208">
        <v>2.7</v>
      </c>
    </row>
    <row r="209" spans="1:15" x14ac:dyDescent="0.25">
      <c r="A209" t="s">
        <v>668</v>
      </c>
      <c r="B209" t="s">
        <v>495</v>
      </c>
      <c r="C209" t="s">
        <v>1188</v>
      </c>
      <c r="D209" t="str">
        <f t="shared" si="9"/>
        <v>RS - São José do Ouro</v>
      </c>
      <c r="E209" s="482">
        <f>VLOOKUP(D209,'Res Nº5.290'!A:B,2,)</f>
        <v>0.47500000000000003</v>
      </c>
      <c r="F209" s="485">
        <f>(Tabela4[[#This Row],[Horas]]-INT(Tabela4[[#This Row],[Horas]]))*24</f>
        <v>11.4</v>
      </c>
      <c r="G209">
        <v>2.2999999999999998</v>
      </c>
      <c r="I209" t="s">
        <v>701</v>
      </c>
      <c r="J209" t="s">
        <v>500</v>
      </c>
      <c r="K209" t="s">
        <v>1189</v>
      </c>
      <c r="L209" s="483" t="str">
        <f t="shared" si="10"/>
        <v>SP - São Manuel</v>
      </c>
      <c r="M209" s="478">
        <f>VLOOKUP(L209,'Res Nº5.290'!A:B,2,FALSE)</f>
        <v>0.47638888888888892</v>
      </c>
      <c r="N209" s="487">
        <f>(Tabela5[[#This Row],[Horas]]-INT(Tabela5[[#This Row],[Horas]]))*24</f>
        <v>11.433333333333334</v>
      </c>
      <c r="O209">
        <v>2.7</v>
      </c>
    </row>
    <row r="210" spans="1:15" x14ac:dyDescent="0.25">
      <c r="A210" t="s">
        <v>668</v>
      </c>
      <c r="B210" t="s">
        <v>495</v>
      </c>
      <c r="C210" t="s">
        <v>1190</v>
      </c>
      <c r="D210" t="str">
        <f t="shared" si="9"/>
        <v>RS - São José dos Ausentes</v>
      </c>
      <c r="E210" s="482">
        <f>VLOOKUP(D210,'Res Nº5.290'!A:B,2,)</f>
        <v>0.47500000000000003</v>
      </c>
      <c r="F210" s="485">
        <f>(Tabela4[[#This Row],[Horas]]-INT(Tabela4[[#This Row],[Horas]]))*24</f>
        <v>11.4</v>
      </c>
      <c r="G210">
        <v>2.2999999999999998</v>
      </c>
      <c r="I210" t="s">
        <v>701</v>
      </c>
      <c r="J210" t="s">
        <v>500</v>
      </c>
      <c r="K210" t="s">
        <v>1191</v>
      </c>
      <c r="L210" s="483" t="str">
        <f t="shared" si="10"/>
        <v>SP - São Pedro</v>
      </c>
      <c r="M210" s="478">
        <f>VLOOKUP(L210,'Res Nº5.290'!A:B,2,FALSE)</f>
        <v>0.47638888888888892</v>
      </c>
      <c r="N210" s="487">
        <f>(Tabela5[[#This Row],[Horas]]-INT(Tabela5[[#This Row],[Horas]]))*24</f>
        <v>11.433333333333334</v>
      </c>
      <c r="O210">
        <v>2.7</v>
      </c>
    </row>
    <row r="211" spans="1:15" x14ac:dyDescent="0.25">
      <c r="A211" t="s">
        <v>668</v>
      </c>
      <c r="B211" t="s">
        <v>495</v>
      </c>
      <c r="C211" t="s">
        <v>1192</v>
      </c>
      <c r="D211" t="str">
        <f t="shared" si="9"/>
        <v>RS - São Luiz Gonzaga</v>
      </c>
      <c r="E211" s="482">
        <f>VLOOKUP(D211,'Res Nº5.290'!A:B,2,)</f>
        <v>0.47500000000000003</v>
      </c>
      <c r="F211" s="485">
        <f>(Tabela4[[#This Row],[Horas]]-INT(Tabela4[[#This Row],[Horas]]))*24</f>
        <v>11.4</v>
      </c>
      <c r="G211">
        <v>2.2999999999999998</v>
      </c>
      <c r="I211" t="s">
        <v>701</v>
      </c>
      <c r="J211" t="s">
        <v>500</v>
      </c>
      <c r="K211" t="s">
        <v>1193</v>
      </c>
      <c r="L211" s="483" t="str">
        <f t="shared" si="10"/>
        <v>SP - São Simão</v>
      </c>
      <c r="M211" s="478">
        <f>VLOOKUP(L211,'Res Nº5.290'!A:B,2,FALSE)</f>
        <v>0.47638888888888892</v>
      </c>
      <c r="N211" s="487">
        <f>(Tabela5[[#This Row],[Horas]]-INT(Tabela5[[#This Row],[Horas]]))*24</f>
        <v>11.433333333333334</v>
      </c>
      <c r="O211">
        <v>2.7</v>
      </c>
    </row>
    <row r="212" spans="1:15" x14ac:dyDescent="0.25">
      <c r="A212" t="s">
        <v>668</v>
      </c>
      <c r="B212" t="s">
        <v>495</v>
      </c>
      <c r="C212" t="s">
        <v>1194</v>
      </c>
      <c r="D212" t="str">
        <f t="shared" si="9"/>
        <v>RS - São Marcos</v>
      </c>
      <c r="E212" s="482">
        <f>VLOOKUP(D212,'Res Nº5.290'!A:B,2,)</f>
        <v>0.47500000000000003</v>
      </c>
      <c r="F212" s="485">
        <f>(Tabela4[[#This Row],[Horas]]-INT(Tabela4[[#This Row],[Horas]]))*24</f>
        <v>11.4</v>
      </c>
      <c r="G212">
        <v>2.2999999999999998</v>
      </c>
      <c r="I212" t="s">
        <v>701</v>
      </c>
      <c r="J212" t="s">
        <v>500</v>
      </c>
      <c r="K212" t="s">
        <v>1195</v>
      </c>
      <c r="L212" s="483" t="str">
        <f t="shared" si="10"/>
        <v>SP - Serra Azul</v>
      </c>
      <c r="M212" s="478">
        <f>VLOOKUP(L212,'Res Nº5.290'!A:B,2,FALSE)</f>
        <v>0.47638888888888892</v>
      </c>
      <c r="N212" s="487">
        <f>(Tabela5[[#This Row],[Horas]]-INT(Tabela5[[#This Row],[Horas]]))*24</f>
        <v>11.433333333333334</v>
      </c>
      <c r="O212">
        <v>2.7</v>
      </c>
    </row>
    <row r="213" spans="1:15" x14ac:dyDescent="0.25">
      <c r="A213" t="s">
        <v>668</v>
      </c>
      <c r="B213" t="s">
        <v>495</v>
      </c>
      <c r="C213" t="s">
        <v>1196</v>
      </c>
      <c r="D213" t="str">
        <f t="shared" si="9"/>
        <v>RS - São Martinho</v>
      </c>
      <c r="E213" s="482">
        <f>VLOOKUP(D213,'Res Nº5.290'!A:B,2,)</f>
        <v>0.47500000000000003</v>
      </c>
      <c r="F213" s="485">
        <f>(Tabela4[[#This Row],[Horas]]-INT(Tabela4[[#This Row],[Horas]]))*24</f>
        <v>11.4</v>
      </c>
      <c r="G213">
        <v>2.2999999999999998</v>
      </c>
      <c r="I213" t="s">
        <v>701</v>
      </c>
      <c r="J213" t="s">
        <v>500</v>
      </c>
      <c r="K213" t="s">
        <v>1197</v>
      </c>
      <c r="L213" s="483" t="str">
        <f t="shared" si="10"/>
        <v>SP - Serra Negra</v>
      </c>
      <c r="M213" s="478">
        <f>VLOOKUP(L213,'Res Nº5.290'!A:B,2,FALSE)</f>
        <v>0.47638888888888892</v>
      </c>
      <c r="N213" s="487">
        <f>(Tabela5[[#This Row],[Horas]]-INT(Tabela5[[#This Row],[Horas]]))*24</f>
        <v>11.433333333333334</v>
      </c>
      <c r="O213">
        <v>2.7</v>
      </c>
    </row>
    <row r="214" spans="1:15" x14ac:dyDescent="0.25">
      <c r="A214" t="s">
        <v>668</v>
      </c>
      <c r="B214" t="s">
        <v>495</v>
      </c>
      <c r="C214" t="s">
        <v>1198</v>
      </c>
      <c r="D214" t="str">
        <f t="shared" si="9"/>
        <v>RS - São Martinho da Serra</v>
      </c>
      <c r="E214" s="482">
        <f>VLOOKUP(D214,'Res Nº5.290'!A:B,2,)</f>
        <v>0.47500000000000003</v>
      </c>
      <c r="F214" s="485">
        <f>(Tabela4[[#This Row],[Horas]]-INT(Tabela4[[#This Row],[Horas]]))*24</f>
        <v>11.4</v>
      </c>
      <c r="G214">
        <v>2.2999999999999998</v>
      </c>
      <c r="I214" t="s">
        <v>701</v>
      </c>
      <c r="J214" t="s">
        <v>500</v>
      </c>
      <c r="K214" t="s">
        <v>1199</v>
      </c>
      <c r="L214" s="483" t="str">
        <f t="shared" si="10"/>
        <v>SP - Serrana</v>
      </c>
      <c r="M214" s="478">
        <f>VLOOKUP(L214,'Res Nº5.290'!A:B,2,FALSE)</f>
        <v>0.47638888888888892</v>
      </c>
      <c r="N214" s="487">
        <f>(Tabela5[[#This Row],[Horas]]-INT(Tabela5[[#This Row],[Horas]]))*24</f>
        <v>11.433333333333334</v>
      </c>
      <c r="O214">
        <v>2.7</v>
      </c>
    </row>
    <row r="215" spans="1:15" x14ac:dyDescent="0.25">
      <c r="A215" t="s">
        <v>668</v>
      </c>
      <c r="B215" t="s">
        <v>495</v>
      </c>
      <c r="C215" t="s">
        <v>1200</v>
      </c>
      <c r="D215" t="str">
        <f t="shared" si="9"/>
        <v>RS - São Nicolau</v>
      </c>
      <c r="E215" s="482">
        <f>VLOOKUP(D215,'Res Nº5.290'!A:B,2,)</f>
        <v>0.47500000000000003</v>
      </c>
      <c r="F215" s="485">
        <f>(Tabela4[[#This Row],[Horas]]-INT(Tabela4[[#This Row],[Horas]]))*24</f>
        <v>11.4</v>
      </c>
      <c r="G215">
        <v>2.2999999999999998</v>
      </c>
      <c r="I215" t="s">
        <v>701</v>
      </c>
      <c r="J215" t="s">
        <v>500</v>
      </c>
      <c r="K215" t="s">
        <v>1201</v>
      </c>
      <c r="L215" s="483" t="str">
        <f t="shared" si="10"/>
        <v>SP - Sertãozinho</v>
      </c>
      <c r="M215" s="478">
        <f>VLOOKUP(L215,'Res Nº5.290'!A:B,2,FALSE)</f>
        <v>0.47638888888888892</v>
      </c>
      <c r="N215" s="487">
        <f>(Tabela5[[#This Row],[Horas]]-INT(Tabela5[[#This Row],[Horas]]))*24</f>
        <v>11.433333333333334</v>
      </c>
      <c r="O215">
        <v>2.7</v>
      </c>
    </row>
    <row r="216" spans="1:15" x14ac:dyDescent="0.25">
      <c r="A216" t="s">
        <v>668</v>
      </c>
      <c r="B216" t="s">
        <v>495</v>
      </c>
      <c r="C216" t="s">
        <v>1202</v>
      </c>
      <c r="D216" t="str">
        <f t="shared" si="9"/>
        <v>RS - São Paulo das Missões</v>
      </c>
      <c r="E216" s="482">
        <f>VLOOKUP(D216,'Res Nº5.290'!A:B,2,)</f>
        <v>0.47500000000000003</v>
      </c>
      <c r="F216" s="485">
        <f>(Tabela4[[#This Row],[Horas]]-INT(Tabela4[[#This Row],[Horas]]))*24</f>
        <v>11.4</v>
      </c>
      <c r="G216">
        <v>2.2999999999999998</v>
      </c>
      <c r="I216" t="s">
        <v>701</v>
      </c>
      <c r="J216" t="s">
        <v>500</v>
      </c>
      <c r="K216" t="s">
        <v>1203</v>
      </c>
      <c r="L216" s="483" t="str">
        <f t="shared" si="10"/>
        <v>SP - Severínia</v>
      </c>
      <c r="M216" s="478">
        <f>VLOOKUP(L216,'Res Nº5.290'!A:B,2,FALSE)</f>
        <v>0.47638888888888892</v>
      </c>
      <c r="N216" s="487">
        <f>(Tabela5[[#This Row],[Horas]]-INT(Tabela5[[#This Row],[Horas]]))*24</f>
        <v>11.433333333333334</v>
      </c>
      <c r="O216">
        <v>2.7</v>
      </c>
    </row>
    <row r="217" spans="1:15" x14ac:dyDescent="0.25">
      <c r="A217" t="s">
        <v>668</v>
      </c>
      <c r="B217" t="s">
        <v>495</v>
      </c>
      <c r="C217" t="s">
        <v>1204</v>
      </c>
      <c r="D217" t="str">
        <f t="shared" si="9"/>
        <v>RS - São Pedro das Missões</v>
      </c>
      <c r="E217" s="482">
        <f>VLOOKUP(D217,'Res Nº5.290'!A:B,2,)</f>
        <v>0.47500000000000003</v>
      </c>
      <c r="F217" s="485">
        <f>(Tabela4[[#This Row],[Horas]]-INT(Tabela4[[#This Row],[Horas]]))*24</f>
        <v>11.4</v>
      </c>
      <c r="G217">
        <v>2.2999999999999998</v>
      </c>
      <c r="I217" t="s">
        <v>701</v>
      </c>
      <c r="J217" t="s">
        <v>500</v>
      </c>
      <c r="K217" t="s">
        <v>1205</v>
      </c>
      <c r="L217" s="483" t="str">
        <f t="shared" si="10"/>
        <v>SP - Socorro</v>
      </c>
      <c r="M217" s="478">
        <f>VLOOKUP(L217,'Res Nº5.290'!A:B,2,FALSE)</f>
        <v>0.47638888888888892</v>
      </c>
      <c r="N217" s="487">
        <f>(Tabela5[[#This Row],[Horas]]-INT(Tabela5[[#This Row],[Horas]]))*24</f>
        <v>11.433333333333334</v>
      </c>
      <c r="O217">
        <v>2.7</v>
      </c>
    </row>
    <row r="218" spans="1:15" x14ac:dyDescent="0.25">
      <c r="A218" t="s">
        <v>668</v>
      </c>
      <c r="B218" t="s">
        <v>495</v>
      </c>
      <c r="C218" t="s">
        <v>1206</v>
      </c>
      <c r="D218" t="str">
        <f t="shared" si="9"/>
        <v>RS - São Pedro do Butiá</v>
      </c>
      <c r="E218" s="482">
        <f>VLOOKUP(D218,'Res Nº5.290'!A:B,2,)</f>
        <v>0.47500000000000003</v>
      </c>
      <c r="F218" s="485">
        <f>(Tabela4[[#This Row],[Horas]]-INT(Tabela4[[#This Row],[Horas]]))*24</f>
        <v>11.4</v>
      </c>
      <c r="G218">
        <v>2.2999999999999998</v>
      </c>
      <c r="I218" t="s">
        <v>701</v>
      </c>
      <c r="J218" t="s">
        <v>500</v>
      </c>
      <c r="K218" t="s">
        <v>1207</v>
      </c>
      <c r="L218" s="483" t="str">
        <f t="shared" si="10"/>
        <v>SP - Sumaré</v>
      </c>
      <c r="M218" s="478">
        <f>VLOOKUP(L218,'Res Nº5.290'!A:B,2,FALSE)</f>
        <v>0.47638888888888892</v>
      </c>
      <c r="N218" s="487">
        <f>(Tabela5[[#This Row],[Horas]]-INT(Tabela5[[#This Row],[Horas]]))*24</f>
        <v>11.433333333333334</v>
      </c>
      <c r="O218">
        <v>2.7</v>
      </c>
    </row>
    <row r="219" spans="1:15" x14ac:dyDescent="0.25">
      <c r="A219" t="s">
        <v>668</v>
      </c>
      <c r="B219" t="s">
        <v>495</v>
      </c>
      <c r="C219" t="s">
        <v>1208</v>
      </c>
      <c r="D219" t="str">
        <f t="shared" si="9"/>
        <v>RS - São Valentim</v>
      </c>
      <c r="E219" s="482">
        <f>VLOOKUP(D219,'Res Nº5.290'!A:B,2,)</f>
        <v>0.47500000000000003</v>
      </c>
      <c r="F219" s="485">
        <f>(Tabela4[[#This Row],[Horas]]-INT(Tabela4[[#This Row],[Horas]]))*24</f>
        <v>11.4</v>
      </c>
      <c r="G219">
        <v>2.2999999999999998</v>
      </c>
      <c r="I219" t="s">
        <v>701</v>
      </c>
      <c r="J219" t="s">
        <v>500</v>
      </c>
      <c r="K219" t="s">
        <v>1209</v>
      </c>
      <c r="L219" s="483" t="str">
        <f t="shared" si="10"/>
        <v>SP - Tabatinga</v>
      </c>
      <c r="M219" s="478">
        <f>VLOOKUP(L219,'Res Nº5.290'!A:B,2,FALSE)</f>
        <v>0.47638888888888892</v>
      </c>
      <c r="N219" s="487">
        <f>(Tabela5[[#This Row],[Horas]]-INT(Tabela5[[#This Row],[Horas]]))*24</f>
        <v>11.433333333333334</v>
      </c>
      <c r="O219">
        <v>2.7</v>
      </c>
    </row>
    <row r="220" spans="1:15" x14ac:dyDescent="0.25">
      <c r="A220" t="s">
        <v>668</v>
      </c>
      <c r="B220" t="s">
        <v>495</v>
      </c>
      <c r="C220" t="s">
        <v>1210</v>
      </c>
      <c r="D220" t="str">
        <f t="shared" si="9"/>
        <v>RS - São Valentim do Sul</v>
      </c>
      <c r="E220" s="482">
        <f>VLOOKUP(D220,'Res Nº5.290'!A:B,2,)</f>
        <v>0.47500000000000003</v>
      </c>
      <c r="F220" s="485">
        <f>(Tabela4[[#This Row],[Horas]]-INT(Tabela4[[#This Row],[Horas]]))*24</f>
        <v>11.4</v>
      </c>
      <c r="G220">
        <v>2.2999999999999998</v>
      </c>
      <c r="I220" t="s">
        <v>701</v>
      </c>
      <c r="J220" t="s">
        <v>500</v>
      </c>
      <c r="K220" t="s">
        <v>1211</v>
      </c>
      <c r="L220" s="483" t="str">
        <f t="shared" si="10"/>
        <v>SP - Taiaçu</v>
      </c>
      <c r="M220" s="478">
        <f>VLOOKUP(L220,'Res Nº5.290'!A:B,2,FALSE)</f>
        <v>0.47638888888888892</v>
      </c>
      <c r="N220" s="487">
        <f>(Tabela5[[#This Row],[Horas]]-INT(Tabela5[[#This Row],[Horas]]))*24</f>
        <v>11.433333333333334</v>
      </c>
      <c r="O220">
        <v>2.7</v>
      </c>
    </row>
    <row r="221" spans="1:15" x14ac:dyDescent="0.25">
      <c r="A221" t="s">
        <v>668</v>
      </c>
      <c r="B221" t="s">
        <v>495</v>
      </c>
      <c r="C221" t="s">
        <v>1212</v>
      </c>
      <c r="D221" t="str">
        <f t="shared" si="9"/>
        <v>RS - São Valério do Sul</v>
      </c>
      <c r="E221" s="482">
        <f>VLOOKUP(D221,'Res Nº5.290'!A:B,2,)</f>
        <v>0.47500000000000003</v>
      </c>
      <c r="F221" s="485">
        <f>(Tabela4[[#This Row],[Horas]]-INT(Tabela4[[#This Row],[Horas]]))*24</f>
        <v>11.4</v>
      </c>
      <c r="G221">
        <v>2.2999999999999998</v>
      </c>
      <c r="I221" t="s">
        <v>701</v>
      </c>
      <c r="J221" t="s">
        <v>500</v>
      </c>
      <c r="K221" t="s">
        <v>1213</v>
      </c>
      <c r="L221" s="483" t="str">
        <f t="shared" si="10"/>
        <v>SP - Taiúva</v>
      </c>
      <c r="M221" s="478">
        <f>VLOOKUP(L221,'Res Nº5.290'!A:B,2,FALSE)</f>
        <v>0.47638888888888892</v>
      </c>
      <c r="N221" s="487">
        <f>(Tabela5[[#This Row],[Horas]]-INT(Tabela5[[#This Row],[Horas]]))*24</f>
        <v>11.433333333333334</v>
      </c>
      <c r="O221">
        <v>2.7</v>
      </c>
    </row>
    <row r="222" spans="1:15" x14ac:dyDescent="0.25">
      <c r="A222" t="s">
        <v>668</v>
      </c>
      <c r="B222" t="s">
        <v>495</v>
      </c>
      <c r="C222" t="s">
        <v>1214</v>
      </c>
      <c r="D222" t="str">
        <f t="shared" si="9"/>
        <v>RS - Sapucaia do Sul</v>
      </c>
      <c r="E222" s="482">
        <f>VLOOKUP(D222,'Res Nº5.290'!A:B,2,)</f>
        <v>0.47500000000000003</v>
      </c>
      <c r="F222" s="485">
        <f>(Tabela4[[#This Row],[Horas]]-INT(Tabela4[[#This Row],[Horas]]))*24</f>
        <v>11.4</v>
      </c>
      <c r="G222">
        <v>2.2999999999999998</v>
      </c>
      <c r="I222" t="s">
        <v>701</v>
      </c>
      <c r="J222" t="s">
        <v>500</v>
      </c>
      <c r="K222" t="s">
        <v>1215</v>
      </c>
      <c r="L222" s="483" t="str">
        <f t="shared" si="10"/>
        <v>SP - Tanabi</v>
      </c>
      <c r="M222" s="478">
        <f>VLOOKUP(L222,'Res Nº5.290'!A:B,2,FALSE)</f>
        <v>0.4770833333333333</v>
      </c>
      <c r="N222" s="487">
        <f>(Tabela5[[#This Row],[Horas]]-INT(Tabela5[[#This Row],[Horas]]))*24</f>
        <v>11.45</v>
      </c>
      <c r="O222">
        <v>2.7</v>
      </c>
    </row>
    <row r="223" spans="1:15" x14ac:dyDescent="0.25">
      <c r="A223" t="s">
        <v>668</v>
      </c>
      <c r="B223" t="s">
        <v>495</v>
      </c>
      <c r="C223" t="s">
        <v>1216</v>
      </c>
      <c r="D223" t="str">
        <f t="shared" si="9"/>
        <v>RS - Sarandi</v>
      </c>
      <c r="E223" s="482">
        <f>VLOOKUP(D223,'Res Nº5.290'!A:B,2,)</f>
        <v>0.47500000000000003</v>
      </c>
      <c r="F223" s="485">
        <f>(Tabela4[[#This Row],[Horas]]-INT(Tabela4[[#This Row],[Horas]]))*24</f>
        <v>11.4</v>
      </c>
      <c r="G223">
        <v>2.2999999999999998</v>
      </c>
      <c r="I223" t="s">
        <v>701</v>
      </c>
      <c r="J223" t="s">
        <v>500</v>
      </c>
      <c r="K223" t="s">
        <v>1217</v>
      </c>
      <c r="L223" s="483" t="str">
        <f t="shared" si="10"/>
        <v>SP - Taquaral</v>
      </c>
      <c r="M223" s="478">
        <f>VLOOKUP(L223,'Res Nº5.290'!A:B,2,FALSE)</f>
        <v>0.47638888888888892</v>
      </c>
      <c r="N223" s="487">
        <f>(Tabela5[[#This Row],[Horas]]-INT(Tabela5[[#This Row],[Horas]]))*24</f>
        <v>11.433333333333334</v>
      </c>
      <c r="O223">
        <v>2.7</v>
      </c>
    </row>
    <row r="224" spans="1:15" x14ac:dyDescent="0.25">
      <c r="A224" t="s">
        <v>668</v>
      </c>
      <c r="B224" t="s">
        <v>495</v>
      </c>
      <c r="C224" t="s">
        <v>1218</v>
      </c>
      <c r="D224" t="str">
        <f t="shared" si="9"/>
        <v>RS - Seberi</v>
      </c>
      <c r="E224" s="482">
        <f>VLOOKUP(D224,'Res Nº5.290'!A:B,2,)</f>
        <v>0.47500000000000003</v>
      </c>
      <c r="F224" s="485">
        <f>(Tabela4[[#This Row],[Horas]]-INT(Tabela4[[#This Row],[Horas]]))*24</f>
        <v>11.4</v>
      </c>
      <c r="G224">
        <v>2.2999999999999998</v>
      </c>
      <c r="I224" t="s">
        <v>701</v>
      </c>
      <c r="J224" t="s">
        <v>500</v>
      </c>
      <c r="K224" t="s">
        <v>1219</v>
      </c>
      <c r="L224" s="483" t="str">
        <f t="shared" si="10"/>
        <v>SP - Taquaritinga</v>
      </c>
      <c r="M224" s="478">
        <f>VLOOKUP(L224,'Res Nº5.290'!A:B,2,FALSE)</f>
        <v>0.47638888888888892</v>
      </c>
      <c r="N224" s="487">
        <f>(Tabela5[[#This Row],[Horas]]-INT(Tabela5[[#This Row],[Horas]]))*24</f>
        <v>11.433333333333334</v>
      </c>
      <c r="O224">
        <v>2.7</v>
      </c>
    </row>
    <row r="225" spans="1:15" x14ac:dyDescent="0.25">
      <c r="A225" t="s">
        <v>668</v>
      </c>
      <c r="B225" t="s">
        <v>495</v>
      </c>
      <c r="C225" t="s">
        <v>1220</v>
      </c>
      <c r="D225" t="str">
        <f t="shared" si="9"/>
        <v>RS - Sede Nova</v>
      </c>
      <c r="E225" s="482">
        <f>VLOOKUP(D225,'Res Nº5.290'!A:B,2,)</f>
        <v>0.47500000000000003</v>
      </c>
      <c r="F225" s="485">
        <f>(Tabela4[[#This Row],[Horas]]-INT(Tabela4[[#This Row],[Horas]]))*24</f>
        <v>11.4</v>
      </c>
      <c r="G225">
        <v>2.2999999999999998</v>
      </c>
      <c r="I225" t="s">
        <v>701</v>
      </c>
      <c r="J225" t="s">
        <v>500</v>
      </c>
      <c r="K225" t="s">
        <v>1221</v>
      </c>
      <c r="L225" s="483" t="str">
        <f t="shared" si="10"/>
        <v>SP - Terra Roxa</v>
      </c>
      <c r="M225" s="478">
        <f>VLOOKUP(L225,'Res Nº5.290'!A:B,2,FALSE)</f>
        <v>0.4770833333333333</v>
      </c>
      <c r="N225" s="487">
        <f>(Tabela5[[#This Row],[Horas]]-INT(Tabela5[[#This Row],[Horas]]))*24</f>
        <v>11.45</v>
      </c>
      <c r="O225">
        <v>2.7</v>
      </c>
    </row>
    <row r="226" spans="1:15" x14ac:dyDescent="0.25">
      <c r="A226" t="s">
        <v>668</v>
      </c>
      <c r="B226" t="s">
        <v>495</v>
      </c>
      <c r="C226" t="s">
        <v>1222</v>
      </c>
      <c r="D226" t="str">
        <f t="shared" si="9"/>
        <v>RS - Selbach</v>
      </c>
      <c r="E226" s="482">
        <f>VLOOKUP(D226,'Res Nº5.290'!A:B,2,)</f>
        <v>0.47500000000000003</v>
      </c>
      <c r="F226" s="485">
        <f>(Tabela4[[#This Row],[Horas]]-INT(Tabela4[[#This Row],[Horas]]))*24</f>
        <v>11.4</v>
      </c>
      <c r="G226">
        <v>2.2999999999999998</v>
      </c>
      <c r="I226" t="s">
        <v>701</v>
      </c>
      <c r="J226" t="s">
        <v>500</v>
      </c>
      <c r="K226" t="s">
        <v>1223</v>
      </c>
      <c r="L226" s="483" t="str">
        <f t="shared" si="10"/>
        <v>SP - Torrinha</v>
      </c>
      <c r="M226" s="478">
        <f>VLOOKUP(L226,'Res Nº5.290'!A:B,2,FALSE)</f>
        <v>0.47638888888888892</v>
      </c>
      <c r="N226" s="487">
        <f>(Tabela5[[#This Row],[Horas]]-INT(Tabela5[[#This Row],[Horas]]))*24</f>
        <v>11.433333333333334</v>
      </c>
      <c r="O226">
        <v>2.7</v>
      </c>
    </row>
    <row r="227" spans="1:15" x14ac:dyDescent="0.25">
      <c r="A227" t="s">
        <v>668</v>
      </c>
      <c r="B227" t="s">
        <v>495</v>
      </c>
      <c r="C227" t="s">
        <v>1224</v>
      </c>
      <c r="D227" t="str">
        <f t="shared" si="9"/>
        <v>RS - Senador Salgado Filho</v>
      </c>
      <c r="E227" s="482">
        <f>VLOOKUP(D227,'Res Nº5.290'!A:B,2,)</f>
        <v>0.47500000000000003</v>
      </c>
      <c r="F227" s="485">
        <f>(Tabela4[[#This Row],[Horas]]-INT(Tabela4[[#This Row],[Horas]]))*24</f>
        <v>11.4</v>
      </c>
      <c r="G227">
        <v>2.2999999999999998</v>
      </c>
      <c r="I227" t="s">
        <v>701</v>
      </c>
      <c r="J227" t="s">
        <v>500</v>
      </c>
      <c r="K227" t="s">
        <v>1225</v>
      </c>
      <c r="L227" s="483" t="str">
        <f t="shared" si="10"/>
        <v>SP - Trabiju</v>
      </c>
      <c r="M227" s="478">
        <f>VLOOKUP(L227,'Res Nº5.290'!A:B,2,FALSE)</f>
        <v>0.47638888888888892</v>
      </c>
      <c r="N227" s="487">
        <f>(Tabela5[[#This Row],[Horas]]-INT(Tabela5[[#This Row],[Horas]]))*24</f>
        <v>11.433333333333334</v>
      </c>
      <c r="O227">
        <v>2.7</v>
      </c>
    </row>
    <row r="228" spans="1:15" x14ac:dyDescent="0.25">
      <c r="A228" t="s">
        <v>668</v>
      </c>
      <c r="B228" t="s">
        <v>495</v>
      </c>
      <c r="C228" t="s">
        <v>1226</v>
      </c>
      <c r="D228" t="str">
        <f t="shared" si="9"/>
        <v>RS - Serafina Corrêa</v>
      </c>
      <c r="E228" s="482">
        <f>VLOOKUP(D228,'Res Nº5.290'!A:B,2,)</f>
        <v>0.47500000000000003</v>
      </c>
      <c r="F228" s="485">
        <f>(Tabela4[[#This Row],[Horas]]-INT(Tabela4[[#This Row],[Horas]]))*24</f>
        <v>11.4</v>
      </c>
      <c r="G228">
        <v>2.2999999999999998</v>
      </c>
      <c r="I228" t="s">
        <v>701</v>
      </c>
      <c r="J228" t="s">
        <v>500</v>
      </c>
      <c r="K228" t="s">
        <v>1227</v>
      </c>
      <c r="L228" s="483" t="str">
        <f t="shared" si="10"/>
        <v>SP - Ubarana</v>
      </c>
      <c r="M228" s="478">
        <f>VLOOKUP(L228,'Res Nº5.290'!A:B,2,FALSE)</f>
        <v>0.47638888888888892</v>
      </c>
      <c r="N228" s="487">
        <f>(Tabela5[[#This Row],[Horas]]-INT(Tabela5[[#This Row],[Horas]]))*24</f>
        <v>11.433333333333334</v>
      </c>
      <c r="O228">
        <v>2.7</v>
      </c>
    </row>
    <row r="229" spans="1:15" x14ac:dyDescent="0.25">
      <c r="A229" t="s">
        <v>668</v>
      </c>
      <c r="B229" t="s">
        <v>495</v>
      </c>
      <c r="C229" t="s">
        <v>1228</v>
      </c>
      <c r="D229" t="str">
        <f t="shared" si="9"/>
        <v>RS - Sertão</v>
      </c>
      <c r="E229" s="482">
        <f>VLOOKUP(D229,'Res Nº5.290'!A:B,2,)</f>
        <v>0.47500000000000003</v>
      </c>
      <c r="F229" s="485">
        <f>(Tabela4[[#This Row],[Horas]]-INT(Tabela4[[#This Row],[Horas]]))*24</f>
        <v>11.4</v>
      </c>
      <c r="G229">
        <v>2.2999999999999998</v>
      </c>
      <c r="I229" t="s">
        <v>701</v>
      </c>
      <c r="J229" t="s">
        <v>500</v>
      </c>
      <c r="K229" t="s">
        <v>1229</v>
      </c>
      <c r="L229" s="483" t="str">
        <f t="shared" si="10"/>
        <v>SP - Uchoa</v>
      </c>
      <c r="M229" s="478">
        <f>VLOOKUP(L229,'Res Nº5.290'!A:B,2,FALSE)</f>
        <v>0.47638888888888892</v>
      </c>
      <c r="N229" s="487">
        <f>(Tabela5[[#This Row],[Horas]]-INT(Tabela5[[#This Row],[Horas]]))*24</f>
        <v>11.433333333333334</v>
      </c>
      <c r="O229">
        <v>2.7</v>
      </c>
    </row>
    <row r="230" spans="1:15" x14ac:dyDescent="0.25">
      <c r="A230" t="s">
        <v>668</v>
      </c>
      <c r="B230" t="s">
        <v>495</v>
      </c>
      <c r="C230" t="s">
        <v>1230</v>
      </c>
      <c r="D230" t="str">
        <f t="shared" si="9"/>
        <v>RS - Sete de Setembro</v>
      </c>
      <c r="E230" s="482">
        <f>VLOOKUP(D230,'Res Nº5.290'!A:B,2,)</f>
        <v>0.47500000000000003</v>
      </c>
      <c r="F230" s="485">
        <f>(Tabela4[[#This Row],[Horas]]-INT(Tabela4[[#This Row],[Horas]]))*24</f>
        <v>11.4</v>
      </c>
      <c r="G230">
        <v>2.2999999999999998</v>
      </c>
      <c r="I230" t="s">
        <v>701</v>
      </c>
      <c r="J230" t="s">
        <v>500</v>
      </c>
      <c r="K230" t="s">
        <v>1231</v>
      </c>
      <c r="L230" s="483" t="str">
        <f t="shared" si="10"/>
        <v>SP - Uru</v>
      </c>
      <c r="M230" s="478">
        <f>VLOOKUP(L230,'Res Nº5.290'!A:B,2,FALSE)</f>
        <v>0.47638888888888892</v>
      </c>
      <c r="N230" s="487">
        <f>(Tabela5[[#This Row],[Horas]]-INT(Tabela5[[#This Row],[Horas]]))*24</f>
        <v>11.433333333333334</v>
      </c>
      <c r="O230">
        <v>2.7</v>
      </c>
    </row>
    <row r="231" spans="1:15" x14ac:dyDescent="0.25">
      <c r="A231" t="s">
        <v>668</v>
      </c>
      <c r="B231" t="s">
        <v>495</v>
      </c>
      <c r="C231" t="s">
        <v>1232</v>
      </c>
      <c r="D231" t="str">
        <f t="shared" si="9"/>
        <v>RS - Severiano de Almeida</v>
      </c>
      <c r="E231" s="482">
        <f>VLOOKUP(D231,'Res Nº5.290'!A:B,2,)</f>
        <v>0.47569444444444442</v>
      </c>
      <c r="F231" s="485">
        <f>(Tabela4[[#This Row],[Horas]]-INT(Tabela4[[#This Row],[Horas]]))*24</f>
        <v>11.416666666666666</v>
      </c>
      <c r="G231">
        <v>2.2999999999999998</v>
      </c>
      <c r="I231" t="s">
        <v>701</v>
      </c>
      <c r="J231" t="s">
        <v>500</v>
      </c>
      <c r="K231" t="s">
        <v>1233</v>
      </c>
      <c r="L231" s="483" t="str">
        <f t="shared" si="10"/>
        <v>SP - Valinhos</v>
      </c>
      <c r="M231" s="478">
        <f>VLOOKUP(L231,'Res Nº5.290'!A:B,2,FALSE)</f>
        <v>0.47638888888888892</v>
      </c>
      <c r="N231" s="487">
        <f>(Tabela5[[#This Row],[Horas]]-INT(Tabela5[[#This Row],[Horas]]))*24</f>
        <v>11.433333333333334</v>
      </c>
      <c r="O231">
        <v>2.7</v>
      </c>
    </row>
    <row r="232" spans="1:15" x14ac:dyDescent="0.25">
      <c r="A232" t="s">
        <v>668</v>
      </c>
      <c r="B232" t="s">
        <v>495</v>
      </c>
      <c r="C232" t="s">
        <v>1234</v>
      </c>
      <c r="D232" t="str">
        <f t="shared" si="9"/>
        <v>RS - Soledade</v>
      </c>
      <c r="E232" s="482">
        <f>VLOOKUP(D232,'Res Nº5.290'!A:B,2,)</f>
        <v>0.47500000000000003</v>
      </c>
      <c r="F232" s="485">
        <f>(Tabela4[[#This Row],[Horas]]-INT(Tabela4[[#This Row],[Horas]]))*24</f>
        <v>11.4</v>
      </c>
      <c r="G232">
        <v>2.2999999999999998</v>
      </c>
      <c r="I232" t="s">
        <v>701</v>
      </c>
      <c r="J232" t="s">
        <v>500</v>
      </c>
      <c r="K232" t="s">
        <v>1235</v>
      </c>
      <c r="L232" s="483" t="str">
        <f t="shared" si="10"/>
        <v>SP - Valparaíso</v>
      </c>
      <c r="M232" s="478">
        <f>VLOOKUP(L232,'Res Nº5.290'!A:B,2,FALSE)</f>
        <v>0.47638888888888892</v>
      </c>
      <c r="N232" s="487">
        <f>(Tabela5[[#This Row],[Horas]]-INT(Tabela5[[#This Row],[Horas]]))*24</f>
        <v>11.433333333333334</v>
      </c>
      <c r="O232">
        <v>2.7</v>
      </c>
    </row>
    <row r="233" spans="1:15" x14ac:dyDescent="0.25">
      <c r="A233" t="s">
        <v>668</v>
      </c>
      <c r="B233" t="s">
        <v>495</v>
      </c>
      <c r="C233" t="s">
        <v>1236</v>
      </c>
      <c r="D233" t="str">
        <f t="shared" si="9"/>
        <v>RS - Tapejara</v>
      </c>
      <c r="E233" s="482">
        <f>VLOOKUP(D233,'Res Nº5.290'!A:B,2,)</f>
        <v>0.47500000000000003</v>
      </c>
      <c r="F233" s="485">
        <f>(Tabela4[[#This Row],[Horas]]-INT(Tabela4[[#This Row],[Horas]]))*24</f>
        <v>11.4</v>
      </c>
      <c r="G233">
        <v>2.2999999999999998</v>
      </c>
      <c r="I233" t="s">
        <v>701</v>
      </c>
      <c r="J233" t="s">
        <v>500</v>
      </c>
      <c r="K233" t="s">
        <v>1237</v>
      </c>
      <c r="L233" s="483" t="str">
        <f t="shared" si="10"/>
        <v>SP - Vera Cruz</v>
      </c>
      <c r="M233" s="478">
        <f>VLOOKUP(L233,'Res Nº5.290'!A:B,2,FALSE)</f>
        <v>0.47638888888888892</v>
      </c>
      <c r="N233" s="487">
        <f>(Tabela5[[#This Row],[Horas]]-INT(Tabela5[[#This Row],[Horas]]))*24</f>
        <v>11.433333333333334</v>
      </c>
      <c r="O233">
        <v>2.7</v>
      </c>
    </row>
    <row r="234" spans="1:15" x14ac:dyDescent="0.25">
      <c r="A234" t="s">
        <v>668</v>
      </c>
      <c r="B234" t="s">
        <v>495</v>
      </c>
      <c r="C234" t="s">
        <v>1238</v>
      </c>
      <c r="D234" t="str">
        <f t="shared" si="9"/>
        <v>RS - Tapera</v>
      </c>
      <c r="E234" s="482">
        <f>VLOOKUP(D234,'Res Nº5.290'!A:B,2,)</f>
        <v>0.47500000000000003</v>
      </c>
      <c r="F234" s="485">
        <f>(Tabela4[[#This Row],[Horas]]-INT(Tabela4[[#This Row],[Horas]]))*24</f>
        <v>11.4</v>
      </c>
      <c r="G234">
        <v>2.2999999999999998</v>
      </c>
      <c r="I234" t="s">
        <v>701</v>
      </c>
      <c r="J234" t="s">
        <v>500</v>
      </c>
      <c r="K234" t="s">
        <v>1239</v>
      </c>
      <c r="L234" s="483" t="str">
        <f t="shared" si="10"/>
        <v>SP - Viradouro</v>
      </c>
      <c r="M234" s="478">
        <f>VLOOKUP(L234,'Res Nº5.290'!A:B,2,FALSE)</f>
        <v>0.47638888888888892</v>
      </c>
      <c r="N234" s="487">
        <f>(Tabela5[[#This Row],[Horas]]-INT(Tabela5[[#This Row],[Horas]]))*24</f>
        <v>11.433333333333334</v>
      </c>
      <c r="O234">
        <v>2.7</v>
      </c>
    </row>
    <row r="235" spans="1:15" x14ac:dyDescent="0.25">
      <c r="A235" t="s">
        <v>668</v>
      </c>
      <c r="B235" t="s">
        <v>495</v>
      </c>
      <c r="C235" t="s">
        <v>1240</v>
      </c>
      <c r="D235" t="str">
        <f t="shared" si="9"/>
        <v>RS - Taquara</v>
      </c>
      <c r="E235" s="482">
        <f>VLOOKUP(D235,'Res Nº5.290'!A:B,2,)</f>
        <v>0.47500000000000003</v>
      </c>
      <c r="F235" s="485">
        <f>(Tabela4[[#This Row],[Horas]]-INT(Tabela4[[#This Row],[Horas]]))*24</f>
        <v>11.4</v>
      </c>
      <c r="G235">
        <v>2.2999999999999998</v>
      </c>
      <c r="I235" t="s">
        <v>701</v>
      </c>
      <c r="J235" t="s">
        <v>500</v>
      </c>
      <c r="K235" t="s">
        <v>1241</v>
      </c>
      <c r="L235" s="483" t="str">
        <f t="shared" si="10"/>
        <v>SP - Vista Alegre do Alto</v>
      </c>
      <c r="M235" s="478">
        <f>VLOOKUP(L235,'Res Nº5.290'!A:B,2,FALSE)</f>
        <v>0.47638888888888892</v>
      </c>
      <c r="N235" s="487">
        <f>(Tabela5[[#This Row],[Horas]]-INT(Tabela5[[#This Row],[Horas]]))*24</f>
        <v>11.433333333333334</v>
      </c>
      <c r="O235">
        <v>2.7</v>
      </c>
    </row>
    <row r="236" spans="1:15" x14ac:dyDescent="0.25">
      <c r="A236" t="s">
        <v>668</v>
      </c>
      <c r="B236" t="s">
        <v>495</v>
      </c>
      <c r="C236" t="s">
        <v>1242</v>
      </c>
      <c r="D236" t="str">
        <f t="shared" si="9"/>
        <v>RS - Taquaruçu do Sul</v>
      </c>
      <c r="E236" s="482">
        <f>VLOOKUP(D236,'Res Nº5.290'!A:B,2,)</f>
        <v>0.47569444444444442</v>
      </c>
      <c r="F236" s="485">
        <f>(Tabela4[[#This Row],[Horas]]-INT(Tabela4[[#This Row],[Horas]]))*24</f>
        <v>11.416666666666666</v>
      </c>
      <c r="G236">
        <v>2.2999999999999998</v>
      </c>
      <c r="M236" s="413"/>
      <c r="N236" s="485"/>
    </row>
    <row r="237" spans="1:15" x14ac:dyDescent="0.25">
      <c r="A237" t="s">
        <v>668</v>
      </c>
      <c r="B237" t="s">
        <v>495</v>
      </c>
      <c r="C237" t="s">
        <v>1243</v>
      </c>
      <c r="D237" t="str">
        <f t="shared" si="9"/>
        <v>RS - Tenente Portela</v>
      </c>
      <c r="E237" s="482">
        <f>VLOOKUP(D237,'Res Nº5.290'!A:B,2,)</f>
        <v>0.47569444444444442</v>
      </c>
      <c r="F237" s="485">
        <f>(Tabela4[[#This Row],[Horas]]-INT(Tabela4[[#This Row],[Horas]]))*24</f>
        <v>11.416666666666666</v>
      </c>
      <c r="G237">
        <v>2.2999999999999998</v>
      </c>
      <c r="M237" s="413"/>
      <c r="N237" s="485"/>
    </row>
    <row r="238" spans="1:15" x14ac:dyDescent="0.25">
      <c r="A238" t="s">
        <v>668</v>
      </c>
      <c r="B238" t="s">
        <v>495</v>
      </c>
      <c r="C238" t="s">
        <v>1244</v>
      </c>
      <c r="D238" t="str">
        <f t="shared" si="9"/>
        <v>RS - Tio Hugo</v>
      </c>
      <c r="E238" s="482">
        <f>VLOOKUP(D238,'Res Nº5.290'!A:B,2,)</f>
        <v>0.47500000000000003</v>
      </c>
      <c r="F238" s="485">
        <f>(Tabela4[[#This Row],[Horas]]-INT(Tabela4[[#This Row],[Horas]]))*24</f>
        <v>11.4</v>
      </c>
      <c r="G238">
        <v>2.2999999999999998</v>
      </c>
      <c r="M238" s="413"/>
      <c r="N238" s="485"/>
    </row>
    <row r="239" spans="1:15" x14ac:dyDescent="0.25">
      <c r="A239" t="s">
        <v>668</v>
      </c>
      <c r="B239" t="s">
        <v>495</v>
      </c>
      <c r="C239" t="s">
        <v>1245</v>
      </c>
      <c r="D239" t="str">
        <f t="shared" si="9"/>
        <v>RS - Tiradentes do Sul</v>
      </c>
      <c r="E239" s="482">
        <f>VLOOKUP(D239,'Res Nº5.290'!A:B,2,)</f>
        <v>0.47569444444444442</v>
      </c>
      <c r="F239" s="485">
        <f>(Tabela4[[#This Row],[Horas]]-INT(Tabela4[[#This Row],[Horas]]))*24</f>
        <v>11.416666666666666</v>
      </c>
      <c r="G239">
        <v>2.2999999999999998</v>
      </c>
      <c r="M239" s="413"/>
      <c r="N239" s="485"/>
    </row>
    <row r="240" spans="1:15" x14ac:dyDescent="0.25">
      <c r="A240" t="s">
        <v>668</v>
      </c>
      <c r="B240" t="s">
        <v>495</v>
      </c>
      <c r="C240" t="s">
        <v>1246</v>
      </c>
      <c r="D240" t="str">
        <f t="shared" si="9"/>
        <v>RS - Três Arroios</v>
      </c>
      <c r="E240" s="482">
        <f>VLOOKUP(D240,'Res Nº5.290'!A:B,2,)</f>
        <v>0.47500000000000003</v>
      </c>
      <c r="F240" s="485">
        <f>(Tabela4[[#This Row],[Horas]]-INT(Tabela4[[#This Row],[Horas]]))*24</f>
        <v>11.4</v>
      </c>
      <c r="G240">
        <v>2.2999999999999998</v>
      </c>
      <c r="M240" s="413"/>
      <c r="N240" s="485"/>
    </row>
    <row r="241" spans="1:14" x14ac:dyDescent="0.25">
      <c r="A241" t="s">
        <v>668</v>
      </c>
      <c r="B241" t="s">
        <v>495</v>
      </c>
      <c r="C241" t="s">
        <v>1247</v>
      </c>
      <c r="D241" t="str">
        <f t="shared" si="9"/>
        <v>RS - Três Coroas</v>
      </c>
      <c r="E241" s="482">
        <f>VLOOKUP(D241,'Res Nº5.290'!A:B,2,)</f>
        <v>0.47500000000000003</v>
      </c>
      <c r="F241" s="485">
        <f>(Tabela4[[#This Row],[Horas]]-INT(Tabela4[[#This Row],[Horas]]))*24</f>
        <v>11.4</v>
      </c>
      <c r="G241">
        <v>2.2999999999999998</v>
      </c>
      <c r="M241" s="413"/>
      <c r="N241" s="485"/>
    </row>
    <row r="242" spans="1:14" x14ac:dyDescent="0.25">
      <c r="A242" t="s">
        <v>668</v>
      </c>
      <c r="B242" t="s">
        <v>495</v>
      </c>
      <c r="C242" t="s">
        <v>1248</v>
      </c>
      <c r="D242" t="str">
        <f t="shared" si="9"/>
        <v>RS - Três de Maio</v>
      </c>
      <c r="E242" s="482">
        <f>VLOOKUP(D242,'Res Nº5.290'!A:B,2,)</f>
        <v>0.47500000000000003</v>
      </c>
      <c r="F242" s="485">
        <f>(Tabela4[[#This Row],[Horas]]-INT(Tabela4[[#This Row],[Horas]]))*24</f>
        <v>11.4</v>
      </c>
      <c r="G242">
        <v>2.2999999999999998</v>
      </c>
      <c r="M242" s="413"/>
      <c r="N242" s="485"/>
    </row>
    <row r="243" spans="1:14" x14ac:dyDescent="0.25">
      <c r="A243" t="s">
        <v>668</v>
      </c>
      <c r="B243" t="s">
        <v>495</v>
      </c>
      <c r="C243" t="s">
        <v>1249</v>
      </c>
      <c r="D243" t="str">
        <f t="shared" si="9"/>
        <v>RS - Três Palmeiras</v>
      </c>
      <c r="E243" s="482">
        <f>VLOOKUP(D243,'Res Nº5.290'!A:B,2,)</f>
        <v>0.47500000000000003</v>
      </c>
      <c r="F243" s="485">
        <f>(Tabela4[[#This Row],[Horas]]-INT(Tabela4[[#This Row],[Horas]]))*24</f>
        <v>11.4</v>
      </c>
      <c r="G243">
        <v>2.2999999999999998</v>
      </c>
      <c r="M243" s="413"/>
      <c r="N243" s="485"/>
    </row>
    <row r="244" spans="1:14" x14ac:dyDescent="0.25">
      <c r="A244" t="s">
        <v>668</v>
      </c>
      <c r="B244" t="s">
        <v>495</v>
      </c>
      <c r="C244" t="s">
        <v>1250</v>
      </c>
      <c r="D244" t="str">
        <f t="shared" si="9"/>
        <v>RS - Três Passos</v>
      </c>
      <c r="E244" s="482">
        <f>VLOOKUP(D244,'Res Nº5.290'!A:B,2,)</f>
        <v>0.47569444444444442</v>
      </c>
      <c r="F244" s="485">
        <f>(Tabela4[[#This Row],[Horas]]-INT(Tabela4[[#This Row],[Horas]]))*24</f>
        <v>11.416666666666666</v>
      </c>
      <c r="G244">
        <v>2.2999999999999998</v>
      </c>
      <c r="M244" s="413"/>
      <c r="N244" s="485"/>
    </row>
    <row r="245" spans="1:14" x14ac:dyDescent="0.25">
      <c r="A245" t="s">
        <v>668</v>
      </c>
      <c r="B245" t="s">
        <v>495</v>
      </c>
      <c r="C245" t="s">
        <v>1251</v>
      </c>
      <c r="D245" t="str">
        <f t="shared" si="9"/>
        <v>RS - Trindade do Sul</v>
      </c>
      <c r="E245" s="482">
        <f>VLOOKUP(D245,'Res Nº5.290'!A:B,2,)</f>
        <v>0.47500000000000003</v>
      </c>
      <c r="F245" s="485">
        <f>(Tabela4[[#This Row],[Horas]]-INT(Tabela4[[#This Row],[Horas]]))*24</f>
        <v>11.4</v>
      </c>
      <c r="G245">
        <v>2.2999999999999998</v>
      </c>
      <c r="M245" s="413"/>
      <c r="N245" s="485"/>
    </row>
    <row r="246" spans="1:14" x14ac:dyDescent="0.25">
      <c r="A246" t="s">
        <v>668</v>
      </c>
      <c r="B246" t="s">
        <v>495</v>
      </c>
      <c r="C246" t="s">
        <v>1252</v>
      </c>
      <c r="D246" t="str">
        <f t="shared" si="9"/>
        <v>RS - Tucunduva</v>
      </c>
      <c r="E246" s="482">
        <f>VLOOKUP(D246,'Res Nº5.290'!A:B,2,)</f>
        <v>0.47500000000000003</v>
      </c>
      <c r="F246" s="485">
        <f>(Tabela4[[#This Row],[Horas]]-INT(Tabela4[[#This Row],[Horas]]))*24</f>
        <v>11.4</v>
      </c>
      <c r="G246">
        <v>2.2999999999999998</v>
      </c>
      <c r="M246" s="413"/>
      <c r="N246" s="485"/>
    </row>
    <row r="247" spans="1:14" x14ac:dyDescent="0.25">
      <c r="A247" t="s">
        <v>668</v>
      </c>
      <c r="B247" t="s">
        <v>495</v>
      </c>
      <c r="C247" t="s">
        <v>1253</v>
      </c>
      <c r="D247" t="str">
        <f t="shared" si="9"/>
        <v>RS - Tupanci do Sul</v>
      </c>
      <c r="E247" s="482">
        <f>VLOOKUP(D247,'Res Nº5.290'!A:B,2,)</f>
        <v>0.47500000000000003</v>
      </c>
      <c r="F247" s="485">
        <f>(Tabela4[[#This Row],[Horas]]-INT(Tabela4[[#This Row],[Horas]]))*24</f>
        <v>11.4</v>
      </c>
      <c r="G247">
        <v>2.2999999999999998</v>
      </c>
      <c r="M247" s="413"/>
      <c r="N247" s="485"/>
    </row>
    <row r="248" spans="1:14" x14ac:dyDescent="0.25">
      <c r="A248" t="s">
        <v>668</v>
      </c>
      <c r="B248" t="s">
        <v>495</v>
      </c>
      <c r="C248" t="s">
        <v>1254</v>
      </c>
      <c r="D248" t="str">
        <f t="shared" si="9"/>
        <v>RS - Tupanciretã</v>
      </c>
      <c r="E248" s="482">
        <f>VLOOKUP(D248,'Res Nº5.290'!A:B,2,)</f>
        <v>0.47500000000000003</v>
      </c>
      <c r="F248" s="485">
        <f>(Tabela4[[#This Row],[Horas]]-INT(Tabela4[[#This Row],[Horas]]))*24</f>
        <v>11.4</v>
      </c>
      <c r="G248">
        <v>2.2999999999999998</v>
      </c>
      <c r="M248" s="413"/>
      <c r="N248" s="485"/>
    </row>
    <row r="249" spans="1:14" x14ac:dyDescent="0.25">
      <c r="A249" t="s">
        <v>668</v>
      </c>
      <c r="B249" t="s">
        <v>495</v>
      </c>
      <c r="C249" t="s">
        <v>1255</v>
      </c>
      <c r="D249" t="str">
        <f t="shared" si="9"/>
        <v>RS - Tuparendi</v>
      </c>
      <c r="E249" s="482">
        <f>VLOOKUP(D249,'Res Nº5.290'!A:B,2,)</f>
        <v>0.47500000000000003</v>
      </c>
      <c r="F249" s="485">
        <f>(Tabela4[[#This Row],[Horas]]-INT(Tabela4[[#This Row],[Horas]]))*24</f>
        <v>11.4</v>
      </c>
      <c r="G249">
        <v>2.2999999999999998</v>
      </c>
      <c r="M249" s="413"/>
      <c r="N249" s="485"/>
    </row>
    <row r="250" spans="1:14" x14ac:dyDescent="0.25">
      <c r="A250" t="s">
        <v>668</v>
      </c>
      <c r="B250" t="s">
        <v>495</v>
      </c>
      <c r="C250" t="s">
        <v>1256</v>
      </c>
      <c r="D250" t="str">
        <f t="shared" si="9"/>
        <v>RS - Ubiretama</v>
      </c>
      <c r="E250" s="482">
        <f>VLOOKUP(D250,'Res Nº5.290'!A:B,2,)</f>
        <v>0.47500000000000003</v>
      </c>
      <c r="F250" s="485">
        <f>(Tabela4[[#This Row],[Horas]]-INT(Tabela4[[#This Row],[Horas]]))*24</f>
        <v>11.4</v>
      </c>
      <c r="G250">
        <v>2.2999999999999998</v>
      </c>
      <c r="M250" s="413"/>
      <c r="N250" s="485"/>
    </row>
    <row r="251" spans="1:14" x14ac:dyDescent="0.25">
      <c r="A251" t="s">
        <v>668</v>
      </c>
      <c r="B251" t="s">
        <v>495</v>
      </c>
      <c r="C251" t="s">
        <v>1257</v>
      </c>
      <c r="D251" t="str">
        <f t="shared" si="9"/>
        <v>RS - União da Serra</v>
      </c>
      <c r="E251" s="482">
        <f>VLOOKUP(D251,'Res Nº5.290'!A:B,2,)</f>
        <v>0.47500000000000003</v>
      </c>
      <c r="F251" s="485">
        <f>(Tabela4[[#This Row],[Horas]]-INT(Tabela4[[#This Row],[Horas]]))*24</f>
        <v>11.4</v>
      </c>
      <c r="G251">
        <v>2.2999999999999998</v>
      </c>
      <c r="M251" s="413"/>
      <c r="N251" s="485"/>
    </row>
    <row r="252" spans="1:14" x14ac:dyDescent="0.25">
      <c r="A252" t="s">
        <v>668</v>
      </c>
      <c r="B252" t="s">
        <v>495</v>
      </c>
      <c r="C252" t="s">
        <v>1258</v>
      </c>
      <c r="D252" t="str">
        <f t="shared" si="9"/>
        <v>RS - Vacaria</v>
      </c>
      <c r="E252" s="482">
        <f>VLOOKUP(D252,'Res Nº5.290'!A:B,2,)</f>
        <v>0.47500000000000003</v>
      </c>
      <c r="F252" s="485">
        <f>(Tabela4[[#This Row],[Horas]]-INT(Tabela4[[#This Row],[Horas]]))*24</f>
        <v>11.4</v>
      </c>
      <c r="G252">
        <v>2.2999999999999998</v>
      </c>
      <c r="M252" s="413"/>
      <c r="N252" s="485"/>
    </row>
    <row r="253" spans="1:14" x14ac:dyDescent="0.25">
      <c r="A253" t="s">
        <v>668</v>
      </c>
      <c r="B253" t="s">
        <v>495</v>
      </c>
      <c r="C253" t="s">
        <v>1259</v>
      </c>
      <c r="D253" t="str">
        <f t="shared" si="9"/>
        <v>RS - Vale Real</v>
      </c>
      <c r="E253" s="482">
        <f>VLOOKUP(D253,'Res Nº5.290'!A:B,2,)</f>
        <v>0.47500000000000003</v>
      </c>
      <c r="F253" s="485">
        <f>(Tabela4[[#This Row],[Horas]]-INT(Tabela4[[#This Row],[Horas]]))*24</f>
        <v>11.4</v>
      </c>
      <c r="G253">
        <v>2.2999999999999998</v>
      </c>
      <c r="M253" s="413"/>
      <c r="N253" s="485"/>
    </row>
    <row r="254" spans="1:14" x14ac:dyDescent="0.25">
      <c r="A254" t="s">
        <v>668</v>
      </c>
      <c r="B254" t="s">
        <v>495</v>
      </c>
      <c r="C254" t="s">
        <v>1260</v>
      </c>
      <c r="D254" t="str">
        <f t="shared" si="9"/>
        <v>RS - Vanini</v>
      </c>
      <c r="E254" s="482">
        <f>VLOOKUP(D254,'Res Nº5.290'!A:B,2,)</f>
        <v>0.47500000000000003</v>
      </c>
      <c r="F254" s="485">
        <f>(Tabela4[[#This Row],[Horas]]-INT(Tabela4[[#This Row],[Horas]]))*24</f>
        <v>11.4</v>
      </c>
      <c r="G254">
        <v>2.2999999999999998</v>
      </c>
      <c r="M254" s="413"/>
      <c r="N254" s="485"/>
    </row>
    <row r="255" spans="1:14" x14ac:dyDescent="0.25">
      <c r="A255" t="s">
        <v>668</v>
      </c>
      <c r="B255" t="s">
        <v>495</v>
      </c>
      <c r="C255" t="s">
        <v>1261</v>
      </c>
      <c r="D255" t="str">
        <f t="shared" si="9"/>
        <v>RS - Veranópolis</v>
      </c>
      <c r="E255" s="482">
        <f>VLOOKUP(D255,'Res Nº5.290'!A:B,2,)</f>
        <v>0.47500000000000003</v>
      </c>
      <c r="F255" s="485">
        <f>(Tabela4[[#This Row],[Horas]]-INT(Tabela4[[#This Row],[Horas]]))*24</f>
        <v>11.4</v>
      </c>
      <c r="G255">
        <v>2.2999999999999998</v>
      </c>
      <c r="M255" s="413"/>
      <c r="N255" s="485"/>
    </row>
    <row r="256" spans="1:14" x14ac:dyDescent="0.25">
      <c r="A256" t="s">
        <v>668</v>
      </c>
      <c r="B256" t="s">
        <v>495</v>
      </c>
      <c r="C256" t="s">
        <v>1262</v>
      </c>
      <c r="D256" t="str">
        <f t="shared" si="9"/>
        <v>RS - Viadutos</v>
      </c>
      <c r="E256" s="482">
        <f>VLOOKUP(D256,'Res Nº5.290'!A:B,2,)</f>
        <v>0.47500000000000003</v>
      </c>
      <c r="F256" s="485">
        <f>(Tabela4[[#This Row],[Horas]]-INT(Tabela4[[#This Row],[Horas]]))*24</f>
        <v>11.4</v>
      </c>
      <c r="G256">
        <v>2.2999999999999998</v>
      </c>
      <c r="M256" s="413"/>
      <c r="N256" s="485"/>
    </row>
    <row r="257" spans="1:14" x14ac:dyDescent="0.25">
      <c r="A257" t="s">
        <v>668</v>
      </c>
      <c r="B257" t="s">
        <v>495</v>
      </c>
      <c r="C257" t="s">
        <v>1263</v>
      </c>
      <c r="D257" t="str">
        <f t="shared" si="9"/>
        <v>RS - Vicente Dutra</v>
      </c>
      <c r="E257" s="482">
        <f>VLOOKUP(D257,'Res Nº5.290'!A:B,2,)</f>
        <v>0.47569444444444442</v>
      </c>
      <c r="F257" s="485">
        <f>(Tabela4[[#This Row],[Horas]]-INT(Tabela4[[#This Row],[Horas]]))*24</f>
        <v>11.416666666666666</v>
      </c>
      <c r="G257">
        <v>2.2999999999999998</v>
      </c>
      <c r="M257" s="413"/>
      <c r="N257" s="485"/>
    </row>
    <row r="258" spans="1:14" x14ac:dyDescent="0.25">
      <c r="A258" t="s">
        <v>668</v>
      </c>
      <c r="B258" t="s">
        <v>495</v>
      </c>
      <c r="C258" t="s">
        <v>1264</v>
      </c>
      <c r="D258" t="str">
        <f t="shared" ref="D258:D321" si="11">CONCATENATE(B258," - ",C258)</f>
        <v>RS - Victor Graeff</v>
      </c>
      <c r="E258" s="482">
        <f>VLOOKUP(D258,'Res Nº5.290'!A:B,2,)</f>
        <v>0.47500000000000003</v>
      </c>
      <c r="F258" s="485">
        <f>(Tabela4[[#This Row],[Horas]]-INT(Tabela4[[#This Row],[Horas]]))*24</f>
        <v>11.4</v>
      </c>
      <c r="G258">
        <v>2.2999999999999998</v>
      </c>
      <c r="M258" s="413"/>
      <c r="N258" s="485"/>
    </row>
    <row r="259" spans="1:14" x14ac:dyDescent="0.25">
      <c r="A259" t="s">
        <v>668</v>
      </c>
      <c r="B259" t="s">
        <v>495</v>
      </c>
      <c r="C259" t="s">
        <v>1265</v>
      </c>
      <c r="D259" t="str">
        <f t="shared" si="11"/>
        <v>RS - Vila Flores</v>
      </c>
      <c r="E259" s="482">
        <f>VLOOKUP(D259,'Res Nº5.290'!A:B,2,)</f>
        <v>0.47500000000000003</v>
      </c>
      <c r="F259" s="485">
        <f>(Tabela4[[#This Row],[Horas]]-INT(Tabela4[[#This Row],[Horas]]))*24</f>
        <v>11.4</v>
      </c>
      <c r="G259">
        <v>2.2999999999999998</v>
      </c>
      <c r="M259" s="413"/>
      <c r="N259" s="485"/>
    </row>
    <row r="260" spans="1:14" x14ac:dyDescent="0.25">
      <c r="A260" t="s">
        <v>668</v>
      </c>
      <c r="B260" t="s">
        <v>495</v>
      </c>
      <c r="C260" t="s">
        <v>1266</v>
      </c>
      <c r="D260" t="str">
        <f t="shared" si="11"/>
        <v>RS - Vila Maria</v>
      </c>
      <c r="E260" s="482">
        <f>VLOOKUP(D260,'Res Nº5.290'!A:B,2,)</f>
        <v>0.47500000000000003</v>
      </c>
      <c r="F260" s="485">
        <f>(Tabela4[[#This Row],[Horas]]-INT(Tabela4[[#This Row],[Horas]]))*24</f>
        <v>11.4</v>
      </c>
      <c r="G260">
        <v>2.2999999999999998</v>
      </c>
      <c r="M260" s="413"/>
      <c r="N260" s="485"/>
    </row>
    <row r="261" spans="1:14" x14ac:dyDescent="0.25">
      <c r="A261" t="s">
        <v>668</v>
      </c>
      <c r="B261" t="s">
        <v>495</v>
      </c>
      <c r="C261" t="s">
        <v>1267</v>
      </c>
      <c r="D261" t="str">
        <f t="shared" si="11"/>
        <v>RS - Vista Alegre</v>
      </c>
      <c r="E261" s="482">
        <f>VLOOKUP(D261,'Res Nº5.290'!A:B,2,)</f>
        <v>0.47569444444444442</v>
      </c>
      <c r="F261" s="485">
        <f>(Tabela4[[#This Row],[Horas]]-INT(Tabela4[[#This Row],[Horas]]))*24</f>
        <v>11.416666666666666</v>
      </c>
      <c r="G261">
        <v>2.2999999999999998</v>
      </c>
      <c r="M261" s="413"/>
      <c r="N261" s="485"/>
    </row>
    <row r="262" spans="1:14" x14ac:dyDescent="0.25">
      <c r="A262" t="s">
        <v>668</v>
      </c>
      <c r="B262" t="s">
        <v>495</v>
      </c>
      <c r="C262" t="s">
        <v>1268</v>
      </c>
      <c r="D262" t="str">
        <f t="shared" si="11"/>
        <v>RS - Vista Alegre do Prata</v>
      </c>
      <c r="E262" s="482">
        <f>VLOOKUP(D262,'Res Nº5.290'!A:B,2,)</f>
        <v>0.47500000000000003</v>
      </c>
      <c r="F262" s="485">
        <f>(Tabela4[[#This Row],[Horas]]-INT(Tabela4[[#This Row],[Horas]]))*24</f>
        <v>11.4</v>
      </c>
      <c r="G262">
        <v>2.2999999999999998</v>
      </c>
      <c r="M262" s="413"/>
      <c r="N262" s="485"/>
    </row>
    <row r="263" spans="1:14" x14ac:dyDescent="0.25">
      <c r="A263" t="s">
        <v>668</v>
      </c>
      <c r="B263" t="s">
        <v>495</v>
      </c>
      <c r="C263" t="s">
        <v>1269</v>
      </c>
      <c r="D263" t="str">
        <f t="shared" si="11"/>
        <v>RS - Vista Gaúcha</v>
      </c>
      <c r="E263" s="482">
        <f>VLOOKUP(D263,'Res Nº5.290'!A:B,2,)</f>
        <v>0.47569444444444442</v>
      </c>
      <c r="F263" s="485">
        <f>(Tabela4[[#This Row],[Horas]]-INT(Tabela4[[#This Row],[Horas]]))*24</f>
        <v>11.416666666666666</v>
      </c>
      <c r="G263">
        <v>2.2999999999999998</v>
      </c>
      <c r="M263" s="413"/>
      <c r="N263" s="485"/>
    </row>
    <row r="264" spans="1:14" x14ac:dyDescent="0.25">
      <c r="A264" t="s">
        <v>668</v>
      </c>
      <c r="B264" t="s">
        <v>495</v>
      </c>
      <c r="C264" t="s">
        <v>1270</v>
      </c>
      <c r="D264" t="str">
        <f t="shared" si="11"/>
        <v>RS - Vitória das Missões</v>
      </c>
      <c r="E264" s="482">
        <f>VLOOKUP(D264,'Res Nº5.290'!A:B,2,)</f>
        <v>0.47500000000000003</v>
      </c>
      <c r="F264" s="485">
        <f>(Tabela4[[#This Row],[Horas]]-INT(Tabela4[[#This Row],[Horas]]))*24</f>
        <v>11.4</v>
      </c>
      <c r="G264">
        <v>2.2999999999999998</v>
      </c>
      <c r="M264" s="413"/>
      <c r="N264" s="485"/>
    </row>
    <row r="265" spans="1:14" x14ac:dyDescent="0.25">
      <c r="A265" t="s">
        <v>668</v>
      </c>
      <c r="B265" t="s">
        <v>495</v>
      </c>
      <c r="C265" t="s">
        <v>1271</v>
      </c>
      <c r="D265" t="str">
        <f t="shared" si="11"/>
        <v>RS - Agudo</v>
      </c>
      <c r="E265" s="482">
        <f>VLOOKUP(D265,'Res Nº5.290'!A:B,2,)</f>
        <v>0.47500000000000003</v>
      </c>
      <c r="F265" s="485">
        <f>(Tabela4[[#This Row],[Horas]]-INT(Tabela4[[#This Row],[Horas]]))*24</f>
        <v>11.4</v>
      </c>
      <c r="G265">
        <v>2.2999999999999998</v>
      </c>
      <c r="M265" s="413"/>
      <c r="N265" s="485"/>
    </row>
    <row r="266" spans="1:14" x14ac:dyDescent="0.25">
      <c r="A266" t="s">
        <v>668</v>
      </c>
      <c r="B266" t="s">
        <v>495</v>
      </c>
      <c r="C266" t="s">
        <v>1272</v>
      </c>
      <c r="D266" t="str">
        <f t="shared" si="11"/>
        <v>RS - Alegrete</v>
      </c>
      <c r="E266" s="482">
        <f>VLOOKUP(D266,'Res Nº5.290'!A:B,2,)</f>
        <v>0.47500000000000003</v>
      </c>
      <c r="F266" s="485">
        <f>(Tabela4[[#This Row],[Horas]]-INT(Tabela4[[#This Row],[Horas]]))*24</f>
        <v>11.4</v>
      </c>
      <c r="G266">
        <v>2.2999999999999998</v>
      </c>
      <c r="M266" s="413"/>
      <c r="N266" s="485"/>
    </row>
    <row r="267" spans="1:14" x14ac:dyDescent="0.25">
      <c r="A267" t="s">
        <v>668</v>
      </c>
      <c r="B267" t="s">
        <v>495</v>
      </c>
      <c r="C267" t="s">
        <v>1273</v>
      </c>
      <c r="D267" t="str">
        <f t="shared" si="11"/>
        <v>RS - Araricá</v>
      </c>
      <c r="E267" s="482">
        <f>VLOOKUP(D267,'Res Nº5.290'!A:B,2,)</f>
        <v>0.47500000000000003</v>
      </c>
      <c r="F267" s="485">
        <f>(Tabela4[[#This Row],[Horas]]-INT(Tabela4[[#This Row],[Horas]]))*24</f>
        <v>11.4</v>
      </c>
      <c r="G267">
        <v>2.2999999999999998</v>
      </c>
      <c r="M267" s="413"/>
      <c r="N267" s="485"/>
    </row>
    <row r="268" spans="1:14" x14ac:dyDescent="0.25">
      <c r="A268" t="s">
        <v>668</v>
      </c>
      <c r="B268" t="s">
        <v>495</v>
      </c>
      <c r="C268" t="s">
        <v>1274</v>
      </c>
      <c r="D268" t="str">
        <f t="shared" si="11"/>
        <v>RS - Arroio do Meio</v>
      </c>
      <c r="E268" s="482">
        <f>VLOOKUP(D268,'Res Nº5.290'!A:B,2,)</f>
        <v>0.47500000000000003</v>
      </c>
      <c r="F268" s="485">
        <f>(Tabela4[[#This Row],[Horas]]-INT(Tabela4[[#This Row],[Horas]]))*24</f>
        <v>11.4</v>
      </c>
      <c r="G268">
        <v>2.2999999999999998</v>
      </c>
      <c r="M268" s="413"/>
      <c r="N268" s="485"/>
    </row>
    <row r="269" spans="1:14" x14ac:dyDescent="0.25">
      <c r="A269" t="s">
        <v>668</v>
      </c>
      <c r="B269" t="s">
        <v>495</v>
      </c>
      <c r="C269" t="s">
        <v>1275</v>
      </c>
      <c r="D269" t="str">
        <f t="shared" si="11"/>
        <v>RS - Arroio do Tigre</v>
      </c>
      <c r="E269" s="482">
        <f>VLOOKUP(D269,'Res Nº5.290'!A:B,2,)</f>
        <v>0.47500000000000003</v>
      </c>
      <c r="F269" s="485">
        <f>(Tabela4[[#This Row],[Horas]]-INT(Tabela4[[#This Row],[Horas]]))*24</f>
        <v>11.4</v>
      </c>
      <c r="G269">
        <v>2.2999999999999998</v>
      </c>
      <c r="M269" s="413"/>
      <c r="N269" s="485"/>
    </row>
    <row r="270" spans="1:14" x14ac:dyDescent="0.25">
      <c r="A270" t="s">
        <v>668</v>
      </c>
      <c r="B270" t="s">
        <v>495</v>
      </c>
      <c r="C270" t="s">
        <v>1276</v>
      </c>
      <c r="D270" t="str">
        <f t="shared" si="11"/>
        <v>RS - Barra do Quaraí</v>
      </c>
      <c r="E270" s="482">
        <f>VLOOKUP(D270,'Res Nº5.290'!A:B,2,)</f>
        <v>0.47430555555555554</v>
      </c>
      <c r="F270" s="485">
        <f>(Tabela4[[#This Row],[Horas]]-INT(Tabela4[[#This Row],[Horas]]))*24</f>
        <v>11.383333333333333</v>
      </c>
      <c r="G270">
        <v>2.2999999999999998</v>
      </c>
      <c r="M270" s="413"/>
      <c r="N270" s="485"/>
    </row>
    <row r="271" spans="1:14" x14ac:dyDescent="0.25">
      <c r="A271" t="s">
        <v>668</v>
      </c>
      <c r="B271" t="s">
        <v>495</v>
      </c>
      <c r="C271" t="s">
        <v>1277</v>
      </c>
      <c r="D271" t="str">
        <f t="shared" si="11"/>
        <v>RS - Bom Princípio</v>
      </c>
      <c r="E271" s="482">
        <f>VLOOKUP(D271,'Res Nº5.290'!A:B,2,)</f>
        <v>0.47500000000000003</v>
      </c>
      <c r="F271" s="485">
        <f>(Tabela4[[#This Row],[Horas]]-INT(Tabela4[[#This Row],[Horas]]))*24</f>
        <v>11.4</v>
      </c>
      <c r="G271">
        <v>2.2999999999999998</v>
      </c>
      <c r="M271" s="413"/>
      <c r="N271" s="485"/>
    </row>
    <row r="272" spans="1:14" x14ac:dyDescent="0.25">
      <c r="A272" t="s">
        <v>668</v>
      </c>
      <c r="B272" t="s">
        <v>495</v>
      </c>
      <c r="C272" t="s">
        <v>1278</v>
      </c>
      <c r="D272" t="str">
        <f t="shared" si="11"/>
        <v>RS - Bom Retiro do Sul</v>
      </c>
      <c r="E272" s="482">
        <f>VLOOKUP(D272,'Res Nº5.290'!A:B,2,)</f>
        <v>0.47500000000000003</v>
      </c>
      <c r="F272" s="485">
        <f>(Tabela4[[#This Row],[Horas]]-INT(Tabela4[[#This Row],[Horas]]))*24</f>
        <v>11.4</v>
      </c>
      <c r="G272">
        <v>2.2999999999999998</v>
      </c>
      <c r="M272" s="413"/>
      <c r="N272" s="485"/>
    </row>
    <row r="273" spans="1:14" x14ac:dyDescent="0.25">
      <c r="A273" t="s">
        <v>668</v>
      </c>
      <c r="B273" t="s">
        <v>495</v>
      </c>
      <c r="C273" t="s">
        <v>1279</v>
      </c>
      <c r="D273" t="str">
        <f t="shared" si="11"/>
        <v>RS - Boqueirão do Leão</v>
      </c>
      <c r="E273" s="482">
        <f>VLOOKUP(D273,'Res Nº5.290'!A:B,2,)</f>
        <v>0.47500000000000003</v>
      </c>
      <c r="F273" s="485">
        <f>(Tabela4[[#This Row],[Horas]]-INT(Tabela4[[#This Row],[Horas]]))*24</f>
        <v>11.4</v>
      </c>
      <c r="G273">
        <v>2.2999999999999998</v>
      </c>
      <c r="M273" s="413"/>
      <c r="N273" s="485"/>
    </row>
    <row r="274" spans="1:14" x14ac:dyDescent="0.25">
      <c r="A274" t="s">
        <v>668</v>
      </c>
      <c r="B274" t="s">
        <v>495</v>
      </c>
      <c r="C274" t="s">
        <v>1280</v>
      </c>
      <c r="D274" t="str">
        <f t="shared" si="11"/>
        <v>RS - Bossoroca</v>
      </c>
      <c r="E274" s="482">
        <f>VLOOKUP(D274,'Res Nº5.290'!A:B,2,)</f>
        <v>0.47500000000000003</v>
      </c>
      <c r="F274" s="485">
        <f>(Tabela4[[#This Row],[Horas]]-INT(Tabela4[[#This Row],[Horas]]))*24</f>
        <v>11.4</v>
      </c>
      <c r="G274">
        <v>2.2999999999999998</v>
      </c>
      <c r="M274" s="413"/>
      <c r="N274" s="485"/>
    </row>
    <row r="275" spans="1:14" x14ac:dyDescent="0.25">
      <c r="A275" t="s">
        <v>668</v>
      </c>
      <c r="B275" t="s">
        <v>495</v>
      </c>
      <c r="C275" t="s">
        <v>1281</v>
      </c>
      <c r="D275" t="str">
        <f t="shared" si="11"/>
        <v>RS - Brochier</v>
      </c>
      <c r="E275" s="482">
        <f>VLOOKUP(D275,'Res Nº5.290'!A:B,2,)</f>
        <v>0.47500000000000003</v>
      </c>
      <c r="F275" s="485">
        <f>(Tabela4[[#This Row],[Horas]]-INT(Tabela4[[#This Row],[Horas]]))*24</f>
        <v>11.4</v>
      </c>
      <c r="G275">
        <v>2.2999999999999998</v>
      </c>
      <c r="M275" s="413"/>
      <c r="N275" s="485"/>
    </row>
    <row r="276" spans="1:14" x14ac:dyDescent="0.25">
      <c r="A276" t="s">
        <v>668</v>
      </c>
      <c r="B276" t="s">
        <v>495</v>
      </c>
      <c r="C276" t="s">
        <v>1282</v>
      </c>
      <c r="D276" t="str">
        <f t="shared" si="11"/>
        <v>RS - Caçapava do Sul</v>
      </c>
      <c r="E276" s="482">
        <f>VLOOKUP(D276,'Res Nº5.290'!A:B,2,)</f>
        <v>0.47430555555555554</v>
      </c>
      <c r="F276" s="485">
        <f>(Tabela4[[#This Row],[Horas]]-INT(Tabela4[[#This Row],[Horas]]))*24</f>
        <v>11.383333333333333</v>
      </c>
      <c r="G276">
        <v>2.2999999999999998</v>
      </c>
      <c r="M276" s="413"/>
      <c r="N276" s="485"/>
    </row>
    <row r="277" spans="1:14" x14ac:dyDescent="0.25">
      <c r="A277" t="s">
        <v>668</v>
      </c>
      <c r="B277" t="s">
        <v>495</v>
      </c>
      <c r="C277" t="s">
        <v>1283</v>
      </c>
      <c r="D277" t="str">
        <f t="shared" si="11"/>
        <v>RS - Cacequi</v>
      </c>
      <c r="E277" s="482">
        <f>VLOOKUP(D277,'Res Nº5.290'!A:B,2,)</f>
        <v>0.47500000000000003</v>
      </c>
      <c r="F277" s="485">
        <f>(Tabela4[[#This Row],[Horas]]-INT(Tabela4[[#This Row],[Horas]]))*24</f>
        <v>11.4</v>
      </c>
      <c r="G277">
        <v>2.2999999999999998</v>
      </c>
      <c r="M277" s="413"/>
      <c r="N277" s="485"/>
    </row>
    <row r="278" spans="1:14" x14ac:dyDescent="0.25">
      <c r="A278" t="s">
        <v>668</v>
      </c>
      <c r="B278" t="s">
        <v>495</v>
      </c>
      <c r="C278" t="s">
        <v>1284</v>
      </c>
      <c r="D278" t="str">
        <f t="shared" si="11"/>
        <v>RS - Cachoeira do Sul</v>
      </c>
      <c r="E278" s="482">
        <f>VLOOKUP(D278,'Res Nº5.290'!A:B,2,)</f>
        <v>0.47500000000000003</v>
      </c>
      <c r="F278" s="485">
        <f>(Tabela4[[#This Row],[Horas]]-INT(Tabela4[[#This Row],[Horas]]))*24</f>
        <v>11.4</v>
      </c>
      <c r="G278">
        <v>2.2999999999999998</v>
      </c>
      <c r="M278" s="413"/>
      <c r="N278" s="485"/>
    </row>
    <row r="279" spans="1:14" x14ac:dyDescent="0.25">
      <c r="A279" t="s">
        <v>668</v>
      </c>
      <c r="B279" t="s">
        <v>495</v>
      </c>
      <c r="C279" t="s">
        <v>1285</v>
      </c>
      <c r="D279" t="str">
        <f t="shared" si="11"/>
        <v>RS - Campo Bom</v>
      </c>
      <c r="E279" s="482">
        <f>VLOOKUP(D279,'Res Nº5.290'!A:B,2,)</f>
        <v>0.47500000000000003</v>
      </c>
      <c r="F279" s="485">
        <f>(Tabela4[[#This Row],[Horas]]-INT(Tabela4[[#This Row],[Horas]]))*24</f>
        <v>11.4</v>
      </c>
      <c r="G279">
        <v>2.2999999999999998</v>
      </c>
      <c r="M279" s="413"/>
      <c r="N279" s="485"/>
    </row>
    <row r="280" spans="1:14" x14ac:dyDescent="0.25">
      <c r="A280" t="s">
        <v>668</v>
      </c>
      <c r="B280" t="s">
        <v>495</v>
      </c>
      <c r="C280" t="s">
        <v>1286</v>
      </c>
      <c r="D280" t="str">
        <f t="shared" si="11"/>
        <v>RS - Candelária</v>
      </c>
      <c r="E280" s="482">
        <f>VLOOKUP(D280,'Res Nº5.290'!A:B,2,)</f>
        <v>0.47500000000000003</v>
      </c>
      <c r="F280" s="485">
        <f>(Tabela4[[#This Row],[Horas]]-INT(Tabela4[[#This Row],[Horas]]))*24</f>
        <v>11.4</v>
      </c>
      <c r="G280">
        <v>2.2999999999999998</v>
      </c>
      <c r="M280" s="413"/>
      <c r="N280" s="485"/>
    </row>
    <row r="281" spans="1:14" x14ac:dyDescent="0.25">
      <c r="A281" t="s">
        <v>668</v>
      </c>
      <c r="B281" t="s">
        <v>495</v>
      </c>
      <c r="C281" t="s">
        <v>1287</v>
      </c>
      <c r="D281" t="str">
        <f t="shared" si="11"/>
        <v>RS - Canoas</v>
      </c>
      <c r="E281" s="482">
        <f>VLOOKUP(D281,'Res Nº5.290'!A:B,2,)</f>
        <v>0.47500000000000003</v>
      </c>
      <c r="F281" s="485">
        <f>(Tabela4[[#This Row],[Horas]]-INT(Tabela4[[#This Row],[Horas]]))*24</f>
        <v>11.4</v>
      </c>
      <c r="G281">
        <v>2.2999999999999998</v>
      </c>
      <c r="M281" s="413"/>
      <c r="N281" s="485"/>
    </row>
    <row r="282" spans="1:14" x14ac:dyDescent="0.25">
      <c r="A282" t="s">
        <v>668</v>
      </c>
      <c r="B282" t="s">
        <v>495</v>
      </c>
      <c r="C282" t="s">
        <v>1288</v>
      </c>
      <c r="D282" t="str">
        <f t="shared" si="11"/>
        <v>RS - Capão do Cipó</v>
      </c>
      <c r="E282" s="482">
        <f>VLOOKUP(D282,'Res Nº5.290'!A:B,2,)</f>
        <v>0.47500000000000003</v>
      </c>
      <c r="F282" s="485">
        <f>(Tabela4[[#This Row],[Horas]]-INT(Tabela4[[#This Row],[Horas]]))*24</f>
        <v>11.4</v>
      </c>
      <c r="G282">
        <v>2.2999999999999998</v>
      </c>
      <c r="M282" s="413"/>
      <c r="N282" s="485"/>
    </row>
    <row r="283" spans="1:14" x14ac:dyDescent="0.25">
      <c r="A283" t="s">
        <v>668</v>
      </c>
      <c r="B283" t="s">
        <v>495</v>
      </c>
      <c r="C283" t="s">
        <v>1289</v>
      </c>
      <c r="D283" t="str">
        <f t="shared" si="11"/>
        <v>RS - Capela de Santana</v>
      </c>
      <c r="E283" s="482">
        <f>VLOOKUP(D283,'Res Nº5.290'!A:B,2,)</f>
        <v>0.47500000000000003</v>
      </c>
      <c r="F283" s="485">
        <f>(Tabela4[[#This Row],[Horas]]-INT(Tabela4[[#This Row],[Horas]]))*24</f>
        <v>11.4</v>
      </c>
      <c r="G283">
        <v>2.2999999999999998</v>
      </c>
      <c r="M283" s="413"/>
      <c r="N283" s="485"/>
    </row>
    <row r="284" spans="1:14" x14ac:dyDescent="0.25">
      <c r="A284" t="s">
        <v>668</v>
      </c>
      <c r="B284" t="s">
        <v>495</v>
      </c>
      <c r="C284" t="s">
        <v>1290</v>
      </c>
      <c r="D284" t="str">
        <f t="shared" si="11"/>
        <v>RS - Capitão</v>
      </c>
      <c r="E284" s="482">
        <f>VLOOKUP(D284,'Res Nº5.290'!A:B,2,)</f>
        <v>0.47500000000000003</v>
      </c>
      <c r="F284" s="485">
        <f>(Tabela4[[#This Row],[Horas]]-INT(Tabela4[[#This Row],[Horas]]))*24</f>
        <v>11.4</v>
      </c>
      <c r="G284">
        <v>2.2999999999999998</v>
      </c>
      <c r="M284" s="413"/>
      <c r="N284" s="485"/>
    </row>
    <row r="285" spans="1:14" x14ac:dyDescent="0.25">
      <c r="A285" t="s">
        <v>668</v>
      </c>
      <c r="B285" t="s">
        <v>495</v>
      </c>
      <c r="C285" t="s">
        <v>1291</v>
      </c>
      <c r="D285" t="str">
        <f t="shared" si="11"/>
        <v>RS - Cerro Branco</v>
      </c>
      <c r="E285" s="482">
        <f>VLOOKUP(D285,'Res Nº5.290'!A:B,2,)</f>
        <v>0.47500000000000003</v>
      </c>
      <c r="F285" s="485">
        <f>(Tabela4[[#This Row],[Horas]]-INT(Tabela4[[#This Row],[Horas]]))*24</f>
        <v>11.4</v>
      </c>
      <c r="G285">
        <v>2.2999999999999998</v>
      </c>
      <c r="M285" s="413"/>
      <c r="N285" s="485"/>
    </row>
    <row r="286" spans="1:14" x14ac:dyDescent="0.25">
      <c r="A286" t="s">
        <v>668</v>
      </c>
      <c r="B286" t="s">
        <v>495</v>
      </c>
      <c r="C286" t="s">
        <v>1292</v>
      </c>
      <c r="D286" t="str">
        <f t="shared" si="11"/>
        <v>RS - Colinas</v>
      </c>
      <c r="E286" s="482">
        <f>VLOOKUP(D286,'Res Nº5.290'!A:B,2,)</f>
        <v>0.47500000000000003</v>
      </c>
      <c r="F286" s="485">
        <f>(Tabela4[[#This Row],[Horas]]-INT(Tabela4[[#This Row],[Horas]]))*24</f>
        <v>11.4</v>
      </c>
      <c r="G286">
        <v>2.2999999999999998</v>
      </c>
      <c r="M286" s="413"/>
      <c r="N286" s="485"/>
    </row>
    <row r="287" spans="1:14" x14ac:dyDescent="0.25">
      <c r="A287" t="s">
        <v>668</v>
      </c>
      <c r="B287" t="s">
        <v>495</v>
      </c>
      <c r="C287" t="s">
        <v>1293</v>
      </c>
      <c r="D287" t="str">
        <f t="shared" si="11"/>
        <v>RS - Coqueiro Baixo</v>
      </c>
      <c r="E287" s="482">
        <f>VLOOKUP(D287,'Res Nº5.290'!A:B,2,)</f>
        <v>0.47500000000000003</v>
      </c>
      <c r="F287" s="485">
        <f>(Tabela4[[#This Row],[Horas]]-INT(Tabela4[[#This Row],[Horas]]))*24</f>
        <v>11.4</v>
      </c>
      <c r="G287">
        <v>2.2999999999999998</v>
      </c>
      <c r="M287" s="413"/>
      <c r="N287" s="485"/>
    </row>
    <row r="288" spans="1:14" x14ac:dyDescent="0.25">
      <c r="A288" t="s">
        <v>668</v>
      </c>
      <c r="B288" t="s">
        <v>495</v>
      </c>
      <c r="C288" t="s">
        <v>1294</v>
      </c>
      <c r="D288" t="str">
        <f t="shared" si="11"/>
        <v>RS - Cruzeiro do Sul</v>
      </c>
      <c r="E288" s="482">
        <f>VLOOKUP(D288,'Res Nº5.290'!A:B,2,)</f>
        <v>0.47500000000000003</v>
      </c>
      <c r="F288" s="485">
        <f>(Tabela4[[#This Row],[Horas]]-INT(Tabela4[[#This Row],[Horas]]))*24</f>
        <v>11.4</v>
      </c>
      <c r="G288">
        <v>2.2999999999999998</v>
      </c>
      <c r="M288" s="413"/>
      <c r="N288" s="485"/>
    </row>
    <row r="289" spans="1:14" x14ac:dyDescent="0.25">
      <c r="A289" t="s">
        <v>668</v>
      </c>
      <c r="B289" t="s">
        <v>495</v>
      </c>
      <c r="C289" t="s">
        <v>1295</v>
      </c>
      <c r="D289" t="str">
        <f t="shared" si="11"/>
        <v>RS - Dilermando de Aguiar</v>
      </c>
      <c r="E289" s="482">
        <f>VLOOKUP(D289,'Res Nº5.290'!A:B,2,)</f>
        <v>0.47500000000000003</v>
      </c>
      <c r="F289" s="485">
        <f>(Tabela4[[#This Row],[Horas]]-INT(Tabela4[[#This Row],[Horas]]))*24</f>
        <v>11.4</v>
      </c>
      <c r="G289">
        <v>2.2999999999999998</v>
      </c>
      <c r="M289" s="413"/>
      <c r="N289" s="485"/>
    </row>
    <row r="290" spans="1:14" x14ac:dyDescent="0.25">
      <c r="A290" t="s">
        <v>668</v>
      </c>
      <c r="B290" t="s">
        <v>495</v>
      </c>
      <c r="C290" t="s">
        <v>1296</v>
      </c>
      <c r="D290" t="str">
        <f t="shared" si="11"/>
        <v>RS - Dois Irmãos</v>
      </c>
      <c r="E290" s="482">
        <f>VLOOKUP(D290,'Res Nº5.290'!A:B,2,)</f>
        <v>0.47500000000000003</v>
      </c>
      <c r="F290" s="485">
        <f>(Tabela4[[#This Row],[Horas]]-INT(Tabela4[[#This Row],[Horas]]))*24</f>
        <v>11.4</v>
      </c>
      <c r="G290">
        <v>2.2999999999999998</v>
      </c>
      <c r="M290" s="413"/>
      <c r="N290" s="485"/>
    </row>
    <row r="291" spans="1:14" x14ac:dyDescent="0.25">
      <c r="A291" t="s">
        <v>668</v>
      </c>
      <c r="B291" t="s">
        <v>495</v>
      </c>
      <c r="C291" t="s">
        <v>1297</v>
      </c>
      <c r="D291" t="str">
        <f t="shared" si="11"/>
        <v>RS - Doutor Ricardo</v>
      </c>
      <c r="E291" s="482">
        <f>VLOOKUP(D291,'Res Nº5.290'!A:B,2,)</f>
        <v>0.47500000000000003</v>
      </c>
      <c r="F291" s="485">
        <f>(Tabela4[[#This Row],[Horas]]-INT(Tabela4[[#This Row],[Horas]]))*24</f>
        <v>11.4</v>
      </c>
      <c r="G291">
        <v>2.2999999999999998</v>
      </c>
      <c r="M291" s="413"/>
      <c r="N291" s="485"/>
    </row>
    <row r="292" spans="1:14" x14ac:dyDescent="0.25">
      <c r="A292" t="s">
        <v>668</v>
      </c>
      <c r="B292" t="s">
        <v>495</v>
      </c>
      <c r="C292" t="s">
        <v>1298</v>
      </c>
      <c r="D292" t="str">
        <f t="shared" si="11"/>
        <v>RS - Encantado</v>
      </c>
      <c r="E292" s="482">
        <f>VLOOKUP(D292,'Res Nº5.290'!A:B,2,)</f>
        <v>0.47500000000000003</v>
      </c>
      <c r="F292" s="485">
        <f>(Tabela4[[#This Row],[Horas]]-INT(Tabela4[[#This Row],[Horas]]))*24</f>
        <v>11.4</v>
      </c>
      <c r="G292">
        <v>2.2999999999999998</v>
      </c>
      <c r="M292" s="413"/>
      <c r="N292" s="485"/>
    </row>
    <row r="293" spans="1:14" x14ac:dyDescent="0.25">
      <c r="A293" t="s">
        <v>668</v>
      </c>
      <c r="B293" t="s">
        <v>495</v>
      </c>
      <c r="C293" t="s">
        <v>1299</v>
      </c>
      <c r="D293" t="str">
        <f t="shared" si="11"/>
        <v>RS - Encruzilhada do Sul</v>
      </c>
      <c r="E293" s="482">
        <f>VLOOKUP(D293,'Res Nº5.290'!A:B,2,)</f>
        <v>0.47430555555555554</v>
      </c>
      <c r="F293" s="485">
        <f>(Tabela4[[#This Row],[Horas]]-INT(Tabela4[[#This Row],[Horas]]))*24</f>
        <v>11.383333333333333</v>
      </c>
      <c r="G293">
        <v>2.2999999999999998</v>
      </c>
      <c r="M293" s="413"/>
      <c r="N293" s="485"/>
    </row>
    <row r="294" spans="1:14" x14ac:dyDescent="0.25">
      <c r="A294" t="s">
        <v>668</v>
      </c>
      <c r="B294" t="s">
        <v>495</v>
      </c>
      <c r="C294" t="s">
        <v>1300</v>
      </c>
      <c r="D294" t="str">
        <f t="shared" si="11"/>
        <v>RS - Estância Velha</v>
      </c>
      <c r="E294" s="482">
        <f>VLOOKUP(D294,'Res Nº5.290'!A:B,2,)</f>
        <v>0.47500000000000003</v>
      </c>
      <c r="F294" s="485">
        <f>(Tabela4[[#This Row],[Horas]]-INT(Tabela4[[#This Row],[Horas]]))*24</f>
        <v>11.4</v>
      </c>
      <c r="G294">
        <v>2.2999999999999998</v>
      </c>
      <c r="M294" s="413"/>
      <c r="N294" s="485"/>
    </row>
    <row r="295" spans="1:14" x14ac:dyDescent="0.25">
      <c r="A295" t="s">
        <v>668</v>
      </c>
      <c r="B295" t="s">
        <v>495</v>
      </c>
      <c r="C295" t="s">
        <v>1301</v>
      </c>
      <c r="D295" t="str">
        <f t="shared" si="11"/>
        <v>RS - Esteio</v>
      </c>
      <c r="E295" s="482">
        <f>VLOOKUP(D295,'Res Nº5.290'!A:B,2,)</f>
        <v>0.47500000000000003</v>
      </c>
      <c r="F295" s="485">
        <f>(Tabela4[[#This Row],[Horas]]-INT(Tabela4[[#This Row],[Horas]]))*24</f>
        <v>11.4</v>
      </c>
      <c r="G295">
        <v>2.2999999999999998</v>
      </c>
      <c r="M295" s="413"/>
      <c r="N295" s="485"/>
    </row>
    <row r="296" spans="1:14" x14ac:dyDescent="0.25">
      <c r="A296" t="s">
        <v>668</v>
      </c>
      <c r="B296" t="s">
        <v>495</v>
      </c>
      <c r="C296" t="s">
        <v>1302</v>
      </c>
      <c r="D296" t="str">
        <f t="shared" si="11"/>
        <v>RS - Estrela</v>
      </c>
      <c r="E296" s="482">
        <f>VLOOKUP(D296,'Res Nº5.290'!A:B,2,)</f>
        <v>0.47500000000000003</v>
      </c>
      <c r="F296" s="485">
        <f>(Tabela4[[#This Row],[Horas]]-INT(Tabela4[[#This Row],[Horas]]))*24</f>
        <v>11.4</v>
      </c>
      <c r="G296">
        <v>2.2999999999999998</v>
      </c>
      <c r="M296" s="413"/>
      <c r="N296" s="485"/>
    </row>
    <row r="297" spans="1:14" x14ac:dyDescent="0.25">
      <c r="A297" t="s">
        <v>668</v>
      </c>
      <c r="B297" t="s">
        <v>495</v>
      </c>
      <c r="C297" t="s">
        <v>1303</v>
      </c>
      <c r="D297" t="str">
        <f t="shared" si="11"/>
        <v>RS - Faxinal do Soturno</v>
      </c>
      <c r="E297" s="482">
        <f>VLOOKUP(D297,'Res Nº5.290'!A:B,2,)</f>
        <v>0.47500000000000003</v>
      </c>
      <c r="F297" s="485">
        <f>(Tabela4[[#This Row],[Horas]]-INT(Tabela4[[#This Row],[Horas]]))*24</f>
        <v>11.4</v>
      </c>
      <c r="G297">
        <v>2.2999999999999998</v>
      </c>
      <c r="M297" s="413"/>
      <c r="N297" s="485"/>
    </row>
    <row r="298" spans="1:14" x14ac:dyDescent="0.25">
      <c r="A298" t="s">
        <v>668</v>
      </c>
      <c r="B298" t="s">
        <v>495</v>
      </c>
      <c r="C298" t="s">
        <v>1304</v>
      </c>
      <c r="D298" t="str">
        <f t="shared" si="11"/>
        <v>RS - Fazenda Vilanova</v>
      </c>
      <c r="E298" s="482">
        <f>VLOOKUP(D298,'Res Nº5.290'!A:B,2,)</f>
        <v>0.47500000000000003</v>
      </c>
      <c r="F298" s="485">
        <f>(Tabela4[[#This Row],[Horas]]-INT(Tabela4[[#This Row],[Horas]]))*24</f>
        <v>11.4</v>
      </c>
      <c r="G298">
        <v>2.2999999999999998</v>
      </c>
      <c r="M298" s="413"/>
      <c r="N298" s="485"/>
    </row>
    <row r="299" spans="1:14" x14ac:dyDescent="0.25">
      <c r="A299" t="s">
        <v>668</v>
      </c>
      <c r="B299" t="s">
        <v>495</v>
      </c>
      <c r="C299" t="s">
        <v>1305</v>
      </c>
      <c r="D299" t="str">
        <f t="shared" si="11"/>
        <v>RS - Floriano Peixoto</v>
      </c>
      <c r="E299" s="482">
        <f>VLOOKUP(D299,'Res Nº5.290'!A:B,2,)</f>
        <v>0.47500000000000003</v>
      </c>
      <c r="F299" s="485">
        <f>(Tabela4[[#This Row],[Horas]]-INT(Tabela4[[#This Row],[Horas]]))*24</f>
        <v>11.4</v>
      </c>
      <c r="G299">
        <v>2.2999999999999998</v>
      </c>
      <c r="M299" s="413"/>
      <c r="N299" s="485"/>
    </row>
    <row r="300" spans="1:14" x14ac:dyDescent="0.25">
      <c r="A300" t="s">
        <v>668</v>
      </c>
      <c r="B300" t="s">
        <v>495</v>
      </c>
      <c r="C300" t="s">
        <v>1306</v>
      </c>
      <c r="D300" t="str">
        <f t="shared" si="11"/>
        <v>RS - Formigueiro</v>
      </c>
      <c r="E300" s="482">
        <f>VLOOKUP(D300,'Res Nº5.290'!A:B,2,)</f>
        <v>0.47500000000000003</v>
      </c>
      <c r="F300" s="485">
        <f>(Tabela4[[#This Row],[Horas]]-INT(Tabela4[[#This Row],[Horas]]))*24</f>
        <v>11.4</v>
      </c>
      <c r="G300">
        <v>2.2999999999999998</v>
      </c>
      <c r="M300" s="413"/>
      <c r="N300" s="485"/>
    </row>
    <row r="301" spans="1:14" x14ac:dyDescent="0.25">
      <c r="A301" t="s">
        <v>668</v>
      </c>
      <c r="B301" t="s">
        <v>495</v>
      </c>
      <c r="C301" t="s">
        <v>1307</v>
      </c>
      <c r="D301" t="str">
        <f t="shared" si="11"/>
        <v>RS - Garruchos</v>
      </c>
      <c r="E301" s="482">
        <f>VLOOKUP(D301,'Res Nº5.290'!A:B,2,)</f>
        <v>0.47500000000000003</v>
      </c>
      <c r="F301" s="485">
        <f>(Tabela4[[#This Row],[Horas]]-INT(Tabela4[[#This Row],[Horas]]))*24</f>
        <v>11.4</v>
      </c>
      <c r="G301">
        <v>2.2999999999999998</v>
      </c>
      <c r="M301" s="413"/>
      <c r="N301" s="485"/>
    </row>
    <row r="302" spans="1:14" x14ac:dyDescent="0.25">
      <c r="A302" t="s">
        <v>668</v>
      </c>
      <c r="B302" t="s">
        <v>495</v>
      </c>
      <c r="C302" t="s">
        <v>1308</v>
      </c>
      <c r="D302" t="str">
        <f t="shared" si="11"/>
        <v>RS - General Câmara</v>
      </c>
      <c r="E302" s="482">
        <f>VLOOKUP(D302,'Res Nº5.290'!A:B,2,)</f>
        <v>0.47500000000000003</v>
      </c>
      <c r="F302" s="485">
        <f>(Tabela4[[#This Row],[Horas]]-INT(Tabela4[[#This Row],[Horas]]))*24</f>
        <v>11.4</v>
      </c>
      <c r="G302">
        <v>2.2999999999999998</v>
      </c>
      <c r="M302" s="413"/>
      <c r="N302" s="485"/>
    </row>
    <row r="303" spans="1:14" x14ac:dyDescent="0.25">
      <c r="A303" t="s">
        <v>668</v>
      </c>
      <c r="B303" t="s">
        <v>495</v>
      </c>
      <c r="C303" t="s">
        <v>1309</v>
      </c>
      <c r="D303" t="str">
        <f t="shared" si="11"/>
        <v>RS - Gramado Xavier</v>
      </c>
      <c r="E303" s="482">
        <f>VLOOKUP(D303,'Res Nº5.290'!A:B,2,)</f>
        <v>0.47500000000000003</v>
      </c>
      <c r="F303" s="485">
        <f>(Tabela4[[#This Row],[Horas]]-INT(Tabela4[[#This Row],[Horas]]))*24</f>
        <v>11.4</v>
      </c>
      <c r="G303">
        <v>2.2999999999999998</v>
      </c>
      <c r="M303" s="413"/>
      <c r="N303" s="485"/>
    </row>
    <row r="304" spans="1:14" x14ac:dyDescent="0.25">
      <c r="A304" t="s">
        <v>668</v>
      </c>
      <c r="B304" t="s">
        <v>495</v>
      </c>
      <c r="C304" t="s">
        <v>1310</v>
      </c>
      <c r="D304" t="str">
        <f t="shared" si="11"/>
        <v>RS - Harmonia</v>
      </c>
      <c r="E304" s="482">
        <f>VLOOKUP(D304,'Res Nº5.290'!A:B,2,)</f>
        <v>0.47500000000000003</v>
      </c>
      <c r="F304" s="485">
        <f>(Tabela4[[#This Row],[Horas]]-INT(Tabela4[[#This Row],[Horas]]))*24</f>
        <v>11.4</v>
      </c>
      <c r="G304">
        <v>2.2999999999999998</v>
      </c>
      <c r="M304" s="413"/>
      <c r="N304" s="485"/>
    </row>
    <row r="305" spans="1:14" x14ac:dyDescent="0.25">
      <c r="A305" t="s">
        <v>668</v>
      </c>
      <c r="B305" t="s">
        <v>495</v>
      </c>
      <c r="C305" t="s">
        <v>1311</v>
      </c>
      <c r="D305" t="str">
        <f t="shared" si="11"/>
        <v>RS - Herveiras</v>
      </c>
      <c r="E305" s="482">
        <f>VLOOKUP(D305,'Res Nº5.290'!A:B,2,)</f>
        <v>0.47500000000000003</v>
      </c>
      <c r="F305" s="485">
        <f>(Tabela4[[#This Row],[Horas]]-INT(Tabela4[[#This Row],[Horas]]))*24</f>
        <v>11.4</v>
      </c>
      <c r="G305">
        <v>2.2999999999999998</v>
      </c>
      <c r="M305" s="413"/>
      <c r="N305" s="485"/>
    </row>
    <row r="306" spans="1:14" x14ac:dyDescent="0.25">
      <c r="A306" t="s">
        <v>668</v>
      </c>
      <c r="B306" t="s">
        <v>495</v>
      </c>
      <c r="C306" t="s">
        <v>1312</v>
      </c>
      <c r="D306" t="str">
        <f t="shared" si="11"/>
        <v>RS - Ibarama</v>
      </c>
      <c r="E306" s="482">
        <f>VLOOKUP(D306,'Res Nº5.290'!A:B,2,)</f>
        <v>0.47500000000000003</v>
      </c>
      <c r="F306" s="485">
        <f>(Tabela4[[#This Row],[Horas]]-INT(Tabela4[[#This Row],[Horas]]))*24</f>
        <v>11.4</v>
      </c>
      <c r="G306">
        <v>2.2999999999999998</v>
      </c>
      <c r="M306" s="413"/>
      <c r="N306" s="485"/>
    </row>
    <row r="307" spans="1:14" x14ac:dyDescent="0.25">
      <c r="A307" t="s">
        <v>668</v>
      </c>
      <c r="B307" t="s">
        <v>495</v>
      </c>
      <c r="C307" t="s">
        <v>1313</v>
      </c>
      <c r="D307" t="str">
        <f t="shared" si="11"/>
        <v>RS - Imigrante</v>
      </c>
      <c r="E307" s="482">
        <f>VLOOKUP(D307,'Res Nº5.290'!A:B,2,)</f>
        <v>0.47500000000000003</v>
      </c>
      <c r="F307" s="485">
        <f>(Tabela4[[#This Row],[Horas]]-INT(Tabela4[[#This Row],[Horas]]))*24</f>
        <v>11.4</v>
      </c>
      <c r="G307">
        <v>2.2999999999999998</v>
      </c>
      <c r="M307" s="413"/>
      <c r="N307" s="485"/>
    </row>
    <row r="308" spans="1:14" x14ac:dyDescent="0.25">
      <c r="A308" t="s">
        <v>668</v>
      </c>
      <c r="B308" t="s">
        <v>495</v>
      </c>
      <c r="C308" t="s">
        <v>1314</v>
      </c>
      <c r="D308" t="str">
        <f t="shared" si="11"/>
        <v>RS - Itaara</v>
      </c>
      <c r="E308" s="482">
        <f>VLOOKUP(D308,'Res Nº5.290'!A:B,2,)</f>
        <v>0.47500000000000003</v>
      </c>
      <c r="F308" s="485">
        <f>(Tabela4[[#This Row],[Horas]]-INT(Tabela4[[#This Row],[Horas]]))*24</f>
        <v>11.4</v>
      </c>
      <c r="G308">
        <v>2.2999999999999998</v>
      </c>
      <c r="M308" s="413"/>
      <c r="N308" s="485"/>
    </row>
    <row r="309" spans="1:14" x14ac:dyDescent="0.25">
      <c r="A309" t="s">
        <v>668</v>
      </c>
      <c r="B309" t="s">
        <v>495</v>
      </c>
      <c r="C309" t="s">
        <v>1315</v>
      </c>
      <c r="D309" t="str">
        <f t="shared" si="11"/>
        <v>RS - Itacurubi</v>
      </c>
      <c r="E309" s="482">
        <f>VLOOKUP(D309,'Res Nº5.290'!A:B,2,)</f>
        <v>0.47500000000000003</v>
      </c>
      <c r="F309" s="485">
        <f>(Tabela4[[#This Row],[Horas]]-INT(Tabela4[[#This Row],[Horas]]))*24</f>
        <v>11.4</v>
      </c>
      <c r="G309">
        <v>2.2999999999999998</v>
      </c>
      <c r="M309" s="413"/>
      <c r="N309" s="485"/>
    </row>
    <row r="310" spans="1:14" x14ac:dyDescent="0.25">
      <c r="A310" t="s">
        <v>668</v>
      </c>
      <c r="B310" t="s">
        <v>495</v>
      </c>
      <c r="C310" t="s">
        <v>1316</v>
      </c>
      <c r="D310" t="str">
        <f t="shared" si="11"/>
        <v>RS - Itaqui</v>
      </c>
      <c r="E310" s="482">
        <f>VLOOKUP(D310,'Res Nº5.290'!A:B,2,)</f>
        <v>0.47500000000000003</v>
      </c>
      <c r="F310" s="485">
        <f>(Tabela4[[#This Row],[Horas]]-INT(Tabela4[[#This Row],[Horas]]))*24</f>
        <v>11.4</v>
      </c>
      <c r="G310">
        <v>2.2999999999999998</v>
      </c>
      <c r="M310" s="413"/>
      <c r="N310" s="485"/>
    </row>
    <row r="311" spans="1:14" x14ac:dyDescent="0.25">
      <c r="A311" t="s">
        <v>668</v>
      </c>
      <c r="B311" t="s">
        <v>495</v>
      </c>
      <c r="C311" t="s">
        <v>1317</v>
      </c>
      <c r="D311" t="str">
        <f t="shared" si="11"/>
        <v>RS - Ivorá</v>
      </c>
      <c r="E311" s="482">
        <f>VLOOKUP(D311,'Res Nº5.290'!A:B,2,)</f>
        <v>0.47500000000000003</v>
      </c>
      <c r="F311" s="485">
        <f>(Tabela4[[#This Row],[Horas]]-INT(Tabela4[[#This Row],[Horas]]))*24</f>
        <v>11.4</v>
      </c>
      <c r="G311">
        <v>2.2999999999999998</v>
      </c>
      <c r="M311" s="413"/>
      <c r="N311" s="485"/>
    </row>
    <row r="312" spans="1:14" x14ac:dyDescent="0.25">
      <c r="A312" t="s">
        <v>668</v>
      </c>
      <c r="B312" t="s">
        <v>495</v>
      </c>
      <c r="C312" t="s">
        <v>1318</v>
      </c>
      <c r="D312" t="str">
        <f t="shared" si="11"/>
        <v>RS - Ivoti</v>
      </c>
      <c r="E312" s="482">
        <f>VLOOKUP(D312,'Res Nº5.290'!A:B,2,)</f>
        <v>0.47500000000000003</v>
      </c>
      <c r="F312" s="485">
        <f>(Tabela4[[#This Row],[Horas]]-INT(Tabela4[[#This Row],[Horas]]))*24</f>
        <v>11.4</v>
      </c>
      <c r="G312">
        <v>2.2999999999999998</v>
      </c>
      <c r="M312" s="413"/>
      <c r="N312" s="485"/>
    </row>
    <row r="313" spans="1:14" x14ac:dyDescent="0.25">
      <c r="A313" t="s">
        <v>668</v>
      </c>
      <c r="B313" t="s">
        <v>495</v>
      </c>
      <c r="C313" t="s">
        <v>1319</v>
      </c>
      <c r="D313" t="str">
        <f t="shared" si="11"/>
        <v>RS - Jaguari</v>
      </c>
      <c r="E313" s="482">
        <f>VLOOKUP(D313,'Res Nº5.290'!A:B,2,)</f>
        <v>0.47500000000000003</v>
      </c>
      <c r="F313" s="485">
        <f>(Tabela4[[#This Row],[Horas]]-INT(Tabela4[[#This Row],[Horas]]))*24</f>
        <v>11.4</v>
      </c>
      <c r="G313">
        <v>2.2999999999999998</v>
      </c>
      <c r="M313" s="413"/>
      <c r="N313" s="485"/>
    </row>
    <row r="314" spans="1:14" x14ac:dyDescent="0.25">
      <c r="A314" t="s">
        <v>668</v>
      </c>
      <c r="B314" t="s">
        <v>495</v>
      </c>
      <c r="C314" t="s">
        <v>1320</v>
      </c>
      <c r="D314" t="str">
        <f t="shared" si="11"/>
        <v>RS - Lagoa Bonita do Sul</v>
      </c>
      <c r="E314" s="482">
        <f>VLOOKUP(D314,'Res Nº5.290'!A:B,2,)</f>
        <v>0.47500000000000003</v>
      </c>
      <c r="F314" s="485">
        <f>(Tabela4[[#This Row],[Horas]]-INT(Tabela4[[#This Row],[Horas]]))*24</f>
        <v>11.4</v>
      </c>
      <c r="G314">
        <v>2.2999999999999998</v>
      </c>
      <c r="M314" s="413"/>
      <c r="N314" s="485"/>
    </row>
    <row r="315" spans="1:14" x14ac:dyDescent="0.25">
      <c r="A315" t="s">
        <v>668</v>
      </c>
      <c r="B315" t="s">
        <v>495</v>
      </c>
      <c r="C315" t="s">
        <v>1321</v>
      </c>
      <c r="D315" t="str">
        <f t="shared" si="11"/>
        <v>RS - Lagoão</v>
      </c>
      <c r="E315" s="482">
        <f>VLOOKUP(D315,'Res Nº5.290'!A:B,2,)</f>
        <v>0.47500000000000003</v>
      </c>
      <c r="F315" s="485">
        <f>(Tabela4[[#This Row],[Horas]]-INT(Tabela4[[#This Row],[Horas]]))*24</f>
        <v>11.4</v>
      </c>
      <c r="G315">
        <v>2.2999999999999998</v>
      </c>
      <c r="M315" s="413"/>
      <c r="N315" s="485"/>
    </row>
    <row r="316" spans="1:14" x14ac:dyDescent="0.25">
      <c r="A316" t="s">
        <v>668</v>
      </c>
      <c r="B316" t="s">
        <v>495</v>
      </c>
      <c r="C316" t="s">
        <v>1322</v>
      </c>
      <c r="D316" t="str">
        <f t="shared" si="11"/>
        <v>RS - Lajeado</v>
      </c>
      <c r="E316" s="482">
        <f>VLOOKUP(D316,'Res Nº5.290'!A:B,2,)</f>
        <v>0.47500000000000003</v>
      </c>
      <c r="F316" s="485">
        <f>(Tabela4[[#This Row],[Horas]]-INT(Tabela4[[#This Row],[Horas]]))*24</f>
        <v>11.4</v>
      </c>
      <c r="G316">
        <v>2.2999999999999998</v>
      </c>
      <c r="M316" s="413"/>
      <c r="N316" s="485"/>
    </row>
    <row r="317" spans="1:14" x14ac:dyDescent="0.25">
      <c r="A317" t="s">
        <v>668</v>
      </c>
      <c r="B317" t="s">
        <v>495</v>
      </c>
      <c r="C317" t="s">
        <v>1323</v>
      </c>
      <c r="D317" t="str">
        <f t="shared" si="11"/>
        <v>RS - Lindolfo Collor</v>
      </c>
      <c r="E317" s="482">
        <f>VLOOKUP(D317,'Res Nº5.290'!A:B,2,)</f>
        <v>0.47500000000000003</v>
      </c>
      <c r="F317" s="485">
        <f>(Tabela4[[#This Row],[Horas]]-INT(Tabela4[[#This Row],[Horas]]))*24</f>
        <v>11.4</v>
      </c>
      <c r="G317">
        <v>2.2999999999999998</v>
      </c>
      <c r="M317" s="413"/>
      <c r="N317" s="485"/>
    </row>
    <row r="318" spans="1:14" x14ac:dyDescent="0.25">
      <c r="A318" t="s">
        <v>668</v>
      </c>
      <c r="B318" t="s">
        <v>495</v>
      </c>
      <c r="C318" t="s">
        <v>1324</v>
      </c>
      <c r="D318" t="str">
        <f t="shared" si="11"/>
        <v>RS - Maçambara</v>
      </c>
      <c r="E318" s="482" t="e">
        <f>VLOOKUP(D318,'Res Nº5.290'!A:B,2,)</f>
        <v>#N/A</v>
      </c>
      <c r="F318" s="485" t="e">
        <f>(Tabela4[[#This Row],[Horas]]-INT(Tabela4[[#This Row],[Horas]]))*24</f>
        <v>#N/A</v>
      </c>
      <c r="G318">
        <v>2.2999999999999998</v>
      </c>
      <c r="M318" s="413"/>
      <c r="N318" s="485"/>
    </row>
    <row r="319" spans="1:14" x14ac:dyDescent="0.25">
      <c r="A319" t="s">
        <v>668</v>
      </c>
      <c r="B319" t="s">
        <v>495</v>
      </c>
      <c r="C319" t="s">
        <v>1325</v>
      </c>
      <c r="D319" t="str">
        <f t="shared" si="11"/>
        <v>RS - Manoel Viana</v>
      </c>
      <c r="E319" s="482">
        <f>VLOOKUP(D319,'Res Nº5.290'!A:B,2,)</f>
        <v>0.47500000000000003</v>
      </c>
      <c r="F319" s="485">
        <f>(Tabela4[[#This Row],[Horas]]-INT(Tabela4[[#This Row],[Horas]]))*24</f>
        <v>11.4</v>
      </c>
      <c r="G319">
        <v>2.2999999999999998</v>
      </c>
      <c r="M319" s="413"/>
      <c r="N319" s="485"/>
    </row>
    <row r="320" spans="1:14" x14ac:dyDescent="0.25">
      <c r="A320" t="s">
        <v>668</v>
      </c>
      <c r="B320" t="s">
        <v>495</v>
      </c>
      <c r="C320" t="s">
        <v>1326</v>
      </c>
      <c r="D320" t="str">
        <f t="shared" si="11"/>
        <v>RS - Maratá</v>
      </c>
      <c r="E320" s="482">
        <f>VLOOKUP(D320,'Res Nº5.290'!A:B,2,)</f>
        <v>0.47500000000000003</v>
      </c>
      <c r="F320" s="485">
        <f>(Tabela4[[#This Row],[Horas]]-INT(Tabela4[[#This Row],[Horas]]))*24</f>
        <v>11.4</v>
      </c>
      <c r="G320">
        <v>2.2999999999999998</v>
      </c>
      <c r="M320" s="413"/>
      <c r="N320" s="485"/>
    </row>
    <row r="321" spans="1:14" x14ac:dyDescent="0.25">
      <c r="A321" t="s">
        <v>668</v>
      </c>
      <c r="B321" t="s">
        <v>495</v>
      </c>
      <c r="C321" t="s">
        <v>1327</v>
      </c>
      <c r="D321" t="str">
        <f t="shared" si="11"/>
        <v>RS - Mata</v>
      </c>
      <c r="E321" s="482">
        <f>VLOOKUP(D321,'Res Nº5.290'!A:B,2,)</f>
        <v>0.47500000000000003</v>
      </c>
      <c r="F321" s="485">
        <f>(Tabela4[[#This Row],[Horas]]-INT(Tabela4[[#This Row],[Horas]]))*24</f>
        <v>11.4</v>
      </c>
      <c r="G321">
        <v>2.2999999999999998</v>
      </c>
      <c r="M321" s="413"/>
      <c r="N321" s="485"/>
    </row>
    <row r="322" spans="1:14" x14ac:dyDescent="0.25">
      <c r="A322" t="s">
        <v>668</v>
      </c>
      <c r="B322" t="s">
        <v>495</v>
      </c>
      <c r="C322" t="s">
        <v>1328</v>
      </c>
      <c r="D322" t="str">
        <f t="shared" ref="D322:D385" si="12">CONCATENATE(B322," - ",C322)</f>
        <v>RS - Mato Leitão</v>
      </c>
      <c r="E322" s="482">
        <f>VLOOKUP(D322,'Res Nº5.290'!A:B,2,)</f>
        <v>0.47500000000000003</v>
      </c>
      <c r="F322" s="485">
        <f>(Tabela4[[#This Row],[Horas]]-INT(Tabela4[[#This Row],[Horas]]))*24</f>
        <v>11.4</v>
      </c>
      <c r="G322">
        <v>2.2999999999999998</v>
      </c>
      <c r="M322" s="413"/>
      <c r="N322" s="485"/>
    </row>
    <row r="323" spans="1:14" x14ac:dyDescent="0.25">
      <c r="A323" t="s">
        <v>668</v>
      </c>
      <c r="B323" t="s">
        <v>495</v>
      </c>
      <c r="C323" t="s">
        <v>1329</v>
      </c>
      <c r="D323" t="str">
        <f t="shared" si="12"/>
        <v>RS - Minas do Leão</v>
      </c>
      <c r="E323" s="482">
        <f>VLOOKUP(D323,'Res Nº5.290'!A:B,2,)</f>
        <v>0.47430555555555554</v>
      </c>
      <c r="F323" s="485">
        <f>(Tabela4[[#This Row],[Horas]]-INT(Tabela4[[#This Row],[Horas]]))*24</f>
        <v>11.383333333333333</v>
      </c>
      <c r="G323">
        <v>2.2999999999999998</v>
      </c>
      <c r="M323" s="413"/>
      <c r="N323" s="485"/>
    </row>
    <row r="324" spans="1:14" x14ac:dyDescent="0.25">
      <c r="A324" t="s">
        <v>668</v>
      </c>
      <c r="B324" t="s">
        <v>495</v>
      </c>
      <c r="C324" t="s">
        <v>1330</v>
      </c>
      <c r="D324" t="str">
        <f t="shared" si="12"/>
        <v>RS - Montenegro</v>
      </c>
      <c r="E324" s="482">
        <f>VLOOKUP(D324,'Res Nº5.290'!A:B,2,)</f>
        <v>0.47500000000000003</v>
      </c>
      <c r="F324" s="485">
        <f>(Tabela4[[#This Row],[Horas]]-INT(Tabela4[[#This Row],[Horas]]))*24</f>
        <v>11.4</v>
      </c>
      <c r="G324">
        <v>2.2999999999999998</v>
      </c>
      <c r="M324" s="413"/>
      <c r="N324" s="485"/>
    </row>
    <row r="325" spans="1:14" x14ac:dyDescent="0.25">
      <c r="A325" t="s">
        <v>668</v>
      </c>
      <c r="B325" t="s">
        <v>495</v>
      </c>
      <c r="C325" t="s">
        <v>1331</v>
      </c>
      <c r="D325" t="str">
        <f t="shared" si="12"/>
        <v>RS - Morro Reuter</v>
      </c>
      <c r="E325" s="482">
        <f>VLOOKUP(D325,'Res Nº5.290'!A:B,2,)</f>
        <v>0.47500000000000003</v>
      </c>
      <c r="F325" s="485">
        <f>(Tabela4[[#This Row],[Horas]]-INT(Tabela4[[#This Row],[Horas]]))*24</f>
        <v>11.4</v>
      </c>
      <c r="G325">
        <v>2.2999999999999998</v>
      </c>
      <c r="M325" s="413"/>
      <c r="N325" s="485"/>
    </row>
    <row r="326" spans="1:14" x14ac:dyDescent="0.25">
      <c r="A326" t="s">
        <v>668</v>
      </c>
      <c r="B326" t="s">
        <v>495</v>
      </c>
      <c r="C326" t="s">
        <v>1332</v>
      </c>
      <c r="D326" t="str">
        <f t="shared" si="12"/>
        <v>RS - Muçum</v>
      </c>
      <c r="E326" s="482">
        <f>VLOOKUP(D326,'Res Nº5.290'!A:B,2,)</f>
        <v>0.47500000000000003</v>
      </c>
      <c r="F326" s="485">
        <f>(Tabela4[[#This Row],[Horas]]-INT(Tabela4[[#This Row],[Horas]]))*24</f>
        <v>11.4</v>
      </c>
      <c r="G326">
        <v>2.2999999999999998</v>
      </c>
      <c r="M326" s="413"/>
      <c r="N326" s="485"/>
    </row>
    <row r="327" spans="1:14" x14ac:dyDescent="0.25">
      <c r="A327" t="s">
        <v>668</v>
      </c>
      <c r="B327" t="s">
        <v>495</v>
      </c>
      <c r="C327" t="s">
        <v>1333</v>
      </c>
      <c r="D327" t="str">
        <f t="shared" si="12"/>
        <v>RS - Nova Bréscia</v>
      </c>
      <c r="E327" s="482">
        <f>VLOOKUP(D327,'Res Nº5.290'!A:B,2,)</f>
        <v>0.47500000000000003</v>
      </c>
      <c r="F327" s="485">
        <f>(Tabela4[[#This Row],[Horas]]-INT(Tabela4[[#This Row],[Horas]]))*24</f>
        <v>11.4</v>
      </c>
      <c r="G327">
        <v>2.2999999999999998</v>
      </c>
      <c r="M327" s="413"/>
      <c r="N327" s="485"/>
    </row>
    <row r="328" spans="1:14" x14ac:dyDescent="0.25">
      <c r="A328" t="s">
        <v>668</v>
      </c>
      <c r="B328" t="s">
        <v>495</v>
      </c>
      <c r="C328" t="s">
        <v>1334</v>
      </c>
      <c r="D328" t="str">
        <f t="shared" si="12"/>
        <v>RS - Nova Esperança do Sul</v>
      </c>
      <c r="E328" s="482">
        <f>VLOOKUP(D328,'Res Nº5.290'!A:B,2,)</f>
        <v>0.47500000000000003</v>
      </c>
      <c r="F328" s="485">
        <f>(Tabela4[[#This Row],[Horas]]-INT(Tabela4[[#This Row],[Horas]]))*24</f>
        <v>11.4</v>
      </c>
      <c r="G328">
        <v>2.2999999999999998</v>
      </c>
      <c r="M328" s="413"/>
      <c r="N328" s="485"/>
    </row>
    <row r="329" spans="1:14" x14ac:dyDescent="0.25">
      <c r="A329" t="s">
        <v>668</v>
      </c>
      <c r="B329" t="s">
        <v>495</v>
      </c>
      <c r="C329" t="s">
        <v>1335</v>
      </c>
      <c r="D329" t="str">
        <f t="shared" si="12"/>
        <v>RS - Nova Santa Rita</v>
      </c>
      <c r="E329" s="482">
        <f>VLOOKUP(D329,'Res Nº5.290'!A:B,2,)</f>
        <v>0.47500000000000003</v>
      </c>
      <c r="F329" s="485">
        <f>(Tabela4[[#This Row],[Horas]]-INT(Tabela4[[#This Row],[Horas]]))*24</f>
        <v>11.4</v>
      </c>
      <c r="G329">
        <v>2.2999999999999998</v>
      </c>
      <c r="M329" s="413"/>
      <c r="N329" s="485"/>
    </row>
    <row r="330" spans="1:14" x14ac:dyDescent="0.25">
      <c r="A330" t="s">
        <v>668</v>
      </c>
      <c r="B330" t="s">
        <v>495</v>
      </c>
      <c r="C330" t="s">
        <v>1336</v>
      </c>
      <c r="D330" t="str">
        <f t="shared" si="12"/>
        <v>RS - Novo Cabrais</v>
      </c>
      <c r="E330" s="482">
        <f>VLOOKUP(D330,'Res Nº5.290'!A:B,2,)</f>
        <v>0.47500000000000003</v>
      </c>
      <c r="F330" s="485">
        <f>(Tabela4[[#This Row],[Horas]]-INT(Tabela4[[#This Row],[Horas]]))*24</f>
        <v>11.4</v>
      </c>
      <c r="G330">
        <v>2.2999999999999998</v>
      </c>
      <c r="M330" s="413"/>
      <c r="N330" s="485"/>
    </row>
    <row r="331" spans="1:14" x14ac:dyDescent="0.25">
      <c r="A331" t="s">
        <v>668</v>
      </c>
      <c r="B331" t="s">
        <v>495</v>
      </c>
      <c r="C331" t="s">
        <v>1337</v>
      </c>
      <c r="D331" t="str">
        <f t="shared" si="12"/>
        <v>RS - Novo Hamburgo</v>
      </c>
      <c r="E331" s="482">
        <f>VLOOKUP(D331,'Res Nº5.290'!A:B,2,)</f>
        <v>0.47500000000000003</v>
      </c>
      <c r="F331" s="485">
        <f>(Tabela4[[#This Row],[Horas]]-INT(Tabela4[[#This Row],[Horas]]))*24</f>
        <v>11.4</v>
      </c>
      <c r="G331">
        <v>2.2999999999999998</v>
      </c>
      <c r="M331" s="413"/>
      <c r="N331" s="485"/>
    </row>
    <row r="332" spans="1:14" x14ac:dyDescent="0.25">
      <c r="A332" t="s">
        <v>668</v>
      </c>
      <c r="B332" t="s">
        <v>495</v>
      </c>
      <c r="C332" t="s">
        <v>1338</v>
      </c>
      <c r="D332" t="str">
        <f t="shared" si="12"/>
        <v>RS - Paraíso do Sul</v>
      </c>
      <c r="E332" s="482">
        <f>VLOOKUP(D332,'Res Nº5.290'!A:B,2,)</f>
        <v>0.47500000000000003</v>
      </c>
      <c r="F332" s="485">
        <f>(Tabela4[[#This Row],[Horas]]-INT(Tabela4[[#This Row],[Horas]]))*24</f>
        <v>11.4</v>
      </c>
      <c r="G332">
        <v>2.2999999999999998</v>
      </c>
      <c r="M332" s="413"/>
      <c r="N332" s="485"/>
    </row>
    <row r="333" spans="1:14" x14ac:dyDescent="0.25">
      <c r="A333" t="s">
        <v>668</v>
      </c>
      <c r="B333" t="s">
        <v>495</v>
      </c>
      <c r="C333" t="s">
        <v>1339</v>
      </c>
      <c r="D333" t="str">
        <f t="shared" si="12"/>
        <v>RS - Pareci Novo</v>
      </c>
      <c r="E333" s="482">
        <f>VLOOKUP(D333,'Res Nº5.290'!A:B,2,)</f>
        <v>0.47500000000000003</v>
      </c>
      <c r="F333" s="485">
        <f>(Tabela4[[#This Row],[Horas]]-INT(Tabela4[[#This Row],[Horas]]))*24</f>
        <v>11.4</v>
      </c>
      <c r="G333">
        <v>2.2999999999999998</v>
      </c>
      <c r="M333" s="413"/>
      <c r="N333" s="485"/>
    </row>
    <row r="334" spans="1:14" x14ac:dyDescent="0.25">
      <c r="A334" t="s">
        <v>668</v>
      </c>
      <c r="B334" t="s">
        <v>495</v>
      </c>
      <c r="C334" t="s">
        <v>1340</v>
      </c>
      <c r="D334" t="str">
        <f t="shared" si="12"/>
        <v>RS - Passa Sete</v>
      </c>
      <c r="E334" s="482">
        <f>VLOOKUP(D334,'Res Nº5.290'!A:B,2,)</f>
        <v>0.47500000000000003</v>
      </c>
      <c r="F334" s="485">
        <f>(Tabela4[[#This Row],[Horas]]-INT(Tabela4[[#This Row],[Horas]]))*24</f>
        <v>11.4</v>
      </c>
      <c r="G334">
        <v>2.2999999999999998</v>
      </c>
      <c r="M334" s="413"/>
      <c r="N334" s="485"/>
    </row>
    <row r="335" spans="1:14" x14ac:dyDescent="0.25">
      <c r="A335" t="s">
        <v>668</v>
      </c>
      <c r="B335" t="s">
        <v>495</v>
      </c>
      <c r="C335" t="s">
        <v>1341</v>
      </c>
      <c r="D335" t="str">
        <f t="shared" si="12"/>
        <v>RS - Passo do Sobrado</v>
      </c>
      <c r="E335" s="482">
        <f>VLOOKUP(D335,'Res Nº5.290'!A:B,2,)</f>
        <v>0.47500000000000003</v>
      </c>
      <c r="F335" s="485">
        <f>(Tabela4[[#This Row],[Horas]]-INT(Tabela4[[#This Row],[Horas]]))*24</f>
        <v>11.4</v>
      </c>
      <c r="G335">
        <v>2.2999999999999998</v>
      </c>
      <c r="M335" s="413"/>
      <c r="N335" s="485"/>
    </row>
    <row r="336" spans="1:14" x14ac:dyDescent="0.25">
      <c r="A336" t="s">
        <v>668</v>
      </c>
      <c r="B336" t="s">
        <v>495</v>
      </c>
      <c r="C336" t="s">
        <v>1342</v>
      </c>
      <c r="D336" t="str">
        <f t="shared" si="12"/>
        <v>RS - Paverama</v>
      </c>
      <c r="E336" s="482">
        <f>VLOOKUP(D336,'Res Nº5.290'!A:B,2,)</f>
        <v>0.47500000000000003</v>
      </c>
      <c r="F336" s="485">
        <f>(Tabela4[[#This Row],[Horas]]-INT(Tabela4[[#This Row],[Horas]]))*24</f>
        <v>11.4</v>
      </c>
      <c r="G336">
        <v>2.2999999999999998</v>
      </c>
      <c r="M336" s="413"/>
      <c r="N336" s="485"/>
    </row>
    <row r="337" spans="1:14" x14ac:dyDescent="0.25">
      <c r="A337" t="s">
        <v>668</v>
      </c>
      <c r="B337" t="s">
        <v>495</v>
      </c>
      <c r="C337" t="s">
        <v>1343</v>
      </c>
      <c r="D337" t="str">
        <f t="shared" si="12"/>
        <v>RS - Portão</v>
      </c>
      <c r="E337" s="482">
        <f>VLOOKUP(D337,'Res Nº5.290'!A:B,2,)</f>
        <v>0.47500000000000003</v>
      </c>
      <c r="F337" s="485">
        <f>(Tabela4[[#This Row],[Horas]]-INT(Tabela4[[#This Row],[Horas]]))*24</f>
        <v>11.4</v>
      </c>
      <c r="G337">
        <v>2.2999999999999998</v>
      </c>
      <c r="M337" s="413"/>
      <c r="N337" s="485"/>
    </row>
    <row r="338" spans="1:14" x14ac:dyDescent="0.25">
      <c r="A338" t="s">
        <v>668</v>
      </c>
      <c r="B338" t="s">
        <v>495</v>
      </c>
      <c r="C338" t="s">
        <v>1344</v>
      </c>
      <c r="D338" t="str">
        <f t="shared" si="12"/>
        <v>RS - Presidente Lucena</v>
      </c>
      <c r="E338" s="482">
        <f>VLOOKUP(D338,'Res Nº5.290'!A:B,2,)</f>
        <v>0.47500000000000003</v>
      </c>
      <c r="F338" s="485">
        <f>(Tabela4[[#This Row],[Horas]]-INT(Tabela4[[#This Row],[Horas]]))*24</f>
        <v>11.4</v>
      </c>
      <c r="G338">
        <v>2.2999999999999998</v>
      </c>
      <c r="M338" s="413"/>
      <c r="N338" s="485"/>
    </row>
    <row r="339" spans="1:14" x14ac:dyDescent="0.25">
      <c r="A339" t="s">
        <v>668</v>
      </c>
      <c r="B339" t="s">
        <v>495</v>
      </c>
      <c r="C339" t="s">
        <v>1345</v>
      </c>
      <c r="D339" t="str">
        <f t="shared" si="12"/>
        <v>RS - Quaraí</v>
      </c>
      <c r="E339" s="482">
        <f>VLOOKUP(D339,'Res Nº5.290'!A:B,2,)</f>
        <v>0.47430555555555554</v>
      </c>
      <c r="F339" s="485">
        <f>(Tabela4[[#This Row],[Horas]]-INT(Tabela4[[#This Row],[Horas]]))*24</f>
        <v>11.383333333333333</v>
      </c>
      <c r="G339">
        <v>2.2999999999999998</v>
      </c>
      <c r="M339" s="413"/>
      <c r="N339" s="485"/>
    </row>
    <row r="340" spans="1:14" x14ac:dyDescent="0.25">
      <c r="A340" t="s">
        <v>668</v>
      </c>
      <c r="B340" t="s">
        <v>495</v>
      </c>
      <c r="C340" t="s">
        <v>1346</v>
      </c>
      <c r="D340" t="str">
        <f t="shared" si="12"/>
        <v>RS - Quevedos</v>
      </c>
      <c r="E340" s="482">
        <f>VLOOKUP(D340,'Res Nº5.290'!A:B,2,)</f>
        <v>0.47500000000000003</v>
      </c>
      <c r="F340" s="485">
        <f>(Tabela4[[#This Row],[Horas]]-INT(Tabela4[[#This Row],[Horas]]))*24</f>
        <v>11.4</v>
      </c>
      <c r="G340">
        <v>2.2999999999999998</v>
      </c>
      <c r="M340" s="413"/>
      <c r="N340" s="485"/>
    </row>
    <row r="341" spans="1:14" x14ac:dyDescent="0.25">
      <c r="A341" t="s">
        <v>668</v>
      </c>
      <c r="B341" t="s">
        <v>495</v>
      </c>
      <c r="C341" t="s">
        <v>1347</v>
      </c>
      <c r="D341" t="str">
        <f t="shared" si="12"/>
        <v>RS - Relvado</v>
      </c>
      <c r="E341" s="482">
        <f>VLOOKUP(D341,'Res Nº5.290'!A:B,2,)</f>
        <v>0.47500000000000003</v>
      </c>
      <c r="F341" s="485">
        <f>(Tabela4[[#This Row],[Horas]]-INT(Tabela4[[#This Row],[Horas]]))*24</f>
        <v>11.4</v>
      </c>
      <c r="G341">
        <v>2.2999999999999998</v>
      </c>
      <c r="M341" s="413"/>
      <c r="N341" s="485"/>
    </row>
    <row r="342" spans="1:14" x14ac:dyDescent="0.25">
      <c r="A342" t="s">
        <v>668</v>
      </c>
      <c r="B342" t="s">
        <v>495</v>
      </c>
      <c r="C342" t="s">
        <v>1348</v>
      </c>
      <c r="D342" t="str">
        <f t="shared" si="12"/>
        <v>RS - Restinga Seca</v>
      </c>
      <c r="E342" s="482">
        <f>VLOOKUP(D342,'Res Nº5.290'!A:B,2,)</f>
        <v>0.47500000000000003</v>
      </c>
      <c r="F342" s="485">
        <f>(Tabela4[[#This Row],[Horas]]-INT(Tabela4[[#This Row],[Horas]]))*24</f>
        <v>11.4</v>
      </c>
      <c r="G342">
        <v>2.2999999999999998</v>
      </c>
      <c r="M342" s="413"/>
      <c r="N342" s="485"/>
    </row>
    <row r="343" spans="1:14" x14ac:dyDescent="0.25">
      <c r="A343" t="s">
        <v>668</v>
      </c>
      <c r="B343" t="s">
        <v>495</v>
      </c>
      <c r="C343" t="s">
        <v>1349</v>
      </c>
      <c r="D343" t="str">
        <f t="shared" si="12"/>
        <v>RS - Rio Pardo</v>
      </c>
      <c r="E343" s="482">
        <f>VLOOKUP(D343,'Res Nº5.290'!A:B,2,)</f>
        <v>0.47500000000000003</v>
      </c>
      <c r="F343" s="485">
        <f>(Tabela4[[#This Row],[Horas]]-INT(Tabela4[[#This Row],[Horas]]))*24</f>
        <v>11.4</v>
      </c>
      <c r="G343">
        <v>2.2999999999999998</v>
      </c>
      <c r="M343" s="413"/>
      <c r="N343" s="485"/>
    </row>
    <row r="344" spans="1:14" x14ac:dyDescent="0.25">
      <c r="A344" t="s">
        <v>668</v>
      </c>
      <c r="B344" t="s">
        <v>495</v>
      </c>
      <c r="C344" t="s">
        <v>1350</v>
      </c>
      <c r="D344" t="str">
        <f t="shared" si="12"/>
        <v>RS - Roca Sales</v>
      </c>
      <c r="E344" s="482">
        <f>VLOOKUP(D344,'Res Nº5.290'!A:B,2,)</f>
        <v>0.47500000000000003</v>
      </c>
      <c r="F344" s="485">
        <f>(Tabela4[[#This Row],[Horas]]-INT(Tabela4[[#This Row],[Horas]]))*24</f>
        <v>11.4</v>
      </c>
      <c r="G344">
        <v>2.2999999999999998</v>
      </c>
      <c r="M344" s="413"/>
      <c r="N344" s="485"/>
    </row>
    <row r="345" spans="1:14" x14ac:dyDescent="0.25">
      <c r="A345" t="s">
        <v>668</v>
      </c>
      <c r="B345" t="s">
        <v>495</v>
      </c>
      <c r="C345" t="s">
        <v>1351</v>
      </c>
      <c r="D345" t="str">
        <f t="shared" si="12"/>
        <v>RS - Rosário do Sul</v>
      </c>
      <c r="E345" s="482">
        <f>VLOOKUP(D345,'Res Nº5.290'!A:B,2,)</f>
        <v>0.47430555555555554</v>
      </c>
      <c r="F345" s="485">
        <f>(Tabela4[[#This Row],[Horas]]-INT(Tabela4[[#This Row],[Horas]]))*24</f>
        <v>11.383333333333333</v>
      </c>
      <c r="G345">
        <v>2.2999999999999998</v>
      </c>
      <c r="M345" s="413"/>
      <c r="N345" s="485"/>
    </row>
    <row r="346" spans="1:14" x14ac:dyDescent="0.25">
      <c r="A346" t="s">
        <v>668</v>
      </c>
      <c r="B346" t="s">
        <v>495</v>
      </c>
      <c r="C346" t="s">
        <v>1352</v>
      </c>
      <c r="D346" t="str">
        <f t="shared" si="12"/>
        <v>RS - Salvador do Sul</v>
      </c>
      <c r="E346" s="482">
        <f>VLOOKUP(D346,'Res Nº5.290'!A:B,2,)</f>
        <v>0.47500000000000003</v>
      </c>
      <c r="F346" s="485">
        <f>(Tabela4[[#This Row],[Horas]]-INT(Tabela4[[#This Row],[Horas]]))*24</f>
        <v>11.4</v>
      </c>
      <c r="G346">
        <v>2.2999999999999998</v>
      </c>
      <c r="M346" s="413"/>
      <c r="N346" s="485"/>
    </row>
    <row r="347" spans="1:14" x14ac:dyDescent="0.25">
      <c r="A347" t="s">
        <v>668</v>
      </c>
      <c r="B347" t="s">
        <v>495</v>
      </c>
      <c r="C347" t="s">
        <v>1353</v>
      </c>
      <c r="D347" t="str">
        <f t="shared" si="12"/>
        <v>RS - Santa Clara do Sul</v>
      </c>
      <c r="E347" s="482">
        <f>VLOOKUP(D347,'Res Nº5.290'!A:B,2,)</f>
        <v>0.47500000000000003</v>
      </c>
      <c r="F347" s="485">
        <f>(Tabela4[[#This Row],[Horas]]-INT(Tabela4[[#This Row],[Horas]]))*24</f>
        <v>11.4</v>
      </c>
      <c r="G347">
        <v>2.2999999999999998</v>
      </c>
      <c r="M347" s="413"/>
      <c r="N347" s="485"/>
    </row>
    <row r="348" spans="1:14" x14ac:dyDescent="0.25">
      <c r="A348" t="s">
        <v>668</v>
      </c>
      <c r="B348" t="s">
        <v>495</v>
      </c>
      <c r="C348" t="s">
        <v>1354</v>
      </c>
      <c r="D348" t="str">
        <f t="shared" si="12"/>
        <v>RS - Santa Cruz do Sul</v>
      </c>
      <c r="E348" s="482">
        <f>VLOOKUP(D348,'Res Nº5.290'!A:B,2,)</f>
        <v>0.47500000000000003</v>
      </c>
      <c r="F348" s="485">
        <f>(Tabela4[[#This Row],[Horas]]-INT(Tabela4[[#This Row],[Horas]]))*24</f>
        <v>11.4</v>
      </c>
      <c r="G348">
        <v>2.2999999999999998</v>
      </c>
      <c r="M348" s="413"/>
      <c r="N348" s="485"/>
    </row>
    <row r="349" spans="1:14" x14ac:dyDescent="0.25">
      <c r="A349" t="s">
        <v>668</v>
      </c>
      <c r="B349" t="s">
        <v>495</v>
      </c>
      <c r="C349" t="s">
        <v>1355</v>
      </c>
      <c r="D349" t="str">
        <f t="shared" si="12"/>
        <v>RS - Santa Margarida do Sul</v>
      </c>
      <c r="E349" s="482">
        <f>VLOOKUP(D349,'Res Nº5.290'!A:B,2,)</f>
        <v>0.47430555555555554</v>
      </c>
      <c r="F349" s="485">
        <f>(Tabela4[[#This Row],[Horas]]-INT(Tabela4[[#This Row],[Horas]]))*24</f>
        <v>11.383333333333333</v>
      </c>
      <c r="G349">
        <v>2.2999999999999998</v>
      </c>
      <c r="M349" s="413"/>
      <c r="N349" s="485"/>
    </row>
    <row r="350" spans="1:14" x14ac:dyDescent="0.25">
      <c r="A350" t="s">
        <v>668</v>
      </c>
      <c r="B350" t="s">
        <v>495</v>
      </c>
      <c r="C350" t="s">
        <v>1356</v>
      </c>
      <c r="D350" t="str">
        <f t="shared" si="12"/>
        <v>RS - Santa Maria</v>
      </c>
      <c r="E350" s="482">
        <f>VLOOKUP(D350,'Res Nº5.290'!A:B,2,)</f>
        <v>0.47500000000000003</v>
      </c>
      <c r="F350" s="485">
        <f>(Tabela4[[#This Row],[Horas]]-INT(Tabela4[[#This Row],[Horas]]))*24</f>
        <v>11.4</v>
      </c>
      <c r="G350">
        <v>2.2999999999999998</v>
      </c>
      <c r="M350" s="413"/>
      <c r="N350" s="485"/>
    </row>
    <row r="351" spans="1:14" x14ac:dyDescent="0.25">
      <c r="A351" t="s">
        <v>668</v>
      </c>
      <c r="B351" t="s">
        <v>495</v>
      </c>
      <c r="C351" t="s">
        <v>1357</v>
      </c>
      <c r="D351" t="str">
        <f t="shared" si="12"/>
        <v>RS - Santa Maria do Herval</v>
      </c>
      <c r="E351" s="482">
        <f>VLOOKUP(D351,'Res Nº5.290'!A:B,2,)</f>
        <v>0.47500000000000003</v>
      </c>
      <c r="F351" s="485">
        <f>(Tabela4[[#This Row],[Horas]]-INT(Tabela4[[#This Row],[Horas]]))*24</f>
        <v>11.4</v>
      </c>
      <c r="G351">
        <v>2.2999999999999998</v>
      </c>
      <c r="M351" s="413"/>
      <c r="N351" s="485"/>
    </row>
    <row r="352" spans="1:14" x14ac:dyDescent="0.25">
      <c r="A352" t="s">
        <v>668</v>
      </c>
      <c r="B352" t="s">
        <v>495</v>
      </c>
      <c r="C352" t="s">
        <v>1358</v>
      </c>
      <c r="D352" t="str">
        <f t="shared" si="12"/>
        <v>RS - Santana da Boa Vista</v>
      </c>
      <c r="E352" s="482">
        <f>VLOOKUP(D352,'Res Nº5.290'!A:B,2,)</f>
        <v>0.47430555555555554</v>
      </c>
      <c r="F352" s="485">
        <f>(Tabela4[[#This Row],[Horas]]-INT(Tabela4[[#This Row],[Horas]]))*24</f>
        <v>11.383333333333333</v>
      </c>
      <c r="G352">
        <v>2.2999999999999998</v>
      </c>
      <c r="M352" s="413"/>
      <c r="N352" s="485"/>
    </row>
    <row r="353" spans="1:14" x14ac:dyDescent="0.25">
      <c r="A353" t="s">
        <v>668</v>
      </c>
      <c r="B353" t="s">
        <v>495</v>
      </c>
      <c r="C353" t="s">
        <v>1359</v>
      </c>
      <c r="D353" t="str">
        <f t="shared" si="12"/>
        <v>RS - SANT'ANA DO LIVRAMENTO</v>
      </c>
      <c r="E353" s="482">
        <f>VLOOKUP(D353,'Res Nº5.290'!A:B,2,)</f>
        <v>0.47430555555555554</v>
      </c>
      <c r="F353" s="485">
        <f>(Tabela4[[#This Row],[Horas]]-INT(Tabela4[[#This Row],[Horas]]))*24</f>
        <v>11.383333333333333</v>
      </c>
      <c r="G353">
        <v>2.2999999999999998</v>
      </c>
      <c r="M353" s="413"/>
      <c r="N353" s="485"/>
    </row>
    <row r="354" spans="1:14" x14ac:dyDescent="0.25">
      <c r="A354" t="s">
        <v>668</v>
      </c>
      <c r="B354" t="s">
        <v>495</v>
      </c>
      <c r="C354" t="s">
        <v>1360</v>
      </c>
      <c r="D354" t="str">
        <f t="shared" si="12"/>
        <v>RS - Santiago</v>
      </c>
      <c r="E354" s="482">
        <f>VLOOKUP(D354,'Res Nº5.290'!A:B,2,)</f>
        <v>0.47500000000000003</v>
      </c>
      <c r="F354" s="485">
        <f>(Tabela4[[#This Row],[Horas]]-INT(Tabela4[[#This Row],[Horas]]))*24</f>
        <v>11.4</v>
      </c>
      <c r="G354">
        <v>2.2999999999999998</v>
      </c>
      <c r="M354" s="413"/>
      <c r="N354" s="485"/>
    </row>
    <row r="355" spans="1:14" x14ac:dyDescent="0.25">
      <c r="A355" t="s">
        <v>668</v>
      </c>
      <c r="B355" t="s">
        <v>495</v>
      </c>
      <c r="C355" t="s">
        <v>1361</v>
      </c>
      <c r="D355" t="str">
        <f t="shared" si="12"/>
        <v>RS - Santo Antônio das Missões</v>
      </c>
      <c r="E355" s="482">
        <f>VLOOKUP(D355,'Res Nº5.290'!A:B,2,)</f>
        <v>0.47500000000000003</v>
      </c>
      <c r="F355" s="485">
        <f>(Tabela4[[#This Row],[Horas]]-INT(Tabela4[[#This Row],[Horas]]))*24</f>
        <v>11.4</v>
      </c>
      <c r="G355">
        <v>2.2999999999999998</v>
      </c>
      <c r="M355" s="413"/>
      <c r="N355" s="485"/>
    </row>
    <row r="356" spans="1:14" x14ac:dyDescent="0.25">
      <c r="A356" t="s">
        <v>668</v>
      </c>
      <c r="B356" t="s">
        <v>495</v>
      </c>
      <c r="C356" t="s">
        <v>1362</v>
      </c>
      <c r="D356" t="str">
        <f t="shared" si="12"/>
        <v>RS - São Borja</v>
      </c>
      <c r="E356" s="482">
        <f>VLOOKUP(D356,'Res Nº5.290'!A:B,2,)</f>
        <v>0.47500000000000003</v>
      </c>
      <c r="F356" s="485">
        <f>(Tabela4[[#This Row],[Horas]]-INT(Tabela4[[#This Row],[Horas]]))*24</f>
        <v>11.4</v>
      </c>
      <c r="G356">
        <v>2.2999999999999998</v>
      </c>
      <c r="M356" s="413"/>
      <c r="N356" s="485"/>
    </row>
    <row r="357" spans="1:14" x14ac:dyDescent="0.25">
      <c r="A357" t="s">
        <v>668</v>
      </c>
      <c r="B357" t="s">
        <v>495</v>
      </c>
      <c r="C357" t="s">
        <v>1363</v>
      </c>
      <c r="D357" t="str">
        <f t="shared" si="12"/>
        <v>RS - São Francisco de Assis</v>
      </c>
      <c r="E357" s="482">
        <f>VLOOKUP(D357,'Res Nº5.290'!A:B,2,)</f>
        <v>0.47500000000000003</v>
      </c>
      <c r="F357" s="485">
        <f>(Tabela4[[#This Row],[Horas]]-INT(Tabela4[[#This Row],[Horas]]))*24</f>
        <v>11.4</v>
      </c>
      <c r="G357">
        <v>2.2999999999999998</v>
      </c>
      <c r="M357" s="413"/>
      <c r="N357" s="485"/>
    </row>
    <row r="358" spans="1:14" x14ac:dyDescent="0.25">
      <c r="A358" t="s">
        <v>668</v>
      </c>
      <c r="B358" t="s">
        <v>495</v>
      </c>
      <c r="C358" t="s">
        <v>1364</v>
      </c>
      <c r="D358" t="str">
        <f t="shared" si="12"/>
        <v>RS - São Gabriel</v>
      </c>
      <c r="E358" s="482">
        <f>VLOOKUP(D358,'Res Nº5.290'!A:B,2,)</f>
        <v>0.47430555555555554</v>
      </c>
      <c r="F358" s="485">
        <f>(Tabela4[[#This Row],[Horas]]-INT(Tabela4[[#This Row],[Horas]]))*24</f>
        <v>11.383333333333333</v>
      </c>
      <c r="G358">
        <v>2.2999999999999998</v>
      </c>
      <c r="M358" s="413"/>
      <c r="N358" s="485"/>
    </row>
    <row r="359" spans="1:14" x14ac:dyDescent="0.25">
      <c r="A359" t="s">
        <v>668</v>
      </c>
      <c r="B359" t="s">
        <v>495</v>
      </c>
      <c r="C359" t="s">
        <v>1365</v>
      </c>
      <c r="D359" t="str">
        <f t="shared" si="12"/>
        <v>RS - São João do Polêsine</v>
      </c>
      <c r="E359" s="482">
        <f>VLOOKUP(D359,'Res Nº5.290'!A:B,2,)</f>
        <v>0.47500000000000003</v>
      </c>
      <c r="F359" s="485">
        <f>(Tabela4[[#This Row],[Horas]]-INT(Tabela4[[#This Row],[Horas]]))*24</f>
        <v>11.4</v>
      </c>
      <c r="G359">
        <v>2.2999999999999998</v>
      </c>
      <c r="M359" s="413"/>
      <c r="N359" s="485"/>
    </row>
    <row r="360" spans="1:14" x14ac:dyDescent="0.25">
      <c r="A360" t="s">
        <v>668</v>
      </c>
      <c r="B360" t="s">
        <v>495</v>
      </c>
      <c r="C360" t="s">
        <v>1366</v>
      </c>
      <c r="D360" t="str">
        <f t="shared" si="12"/>
        <v>RS - São José do Hortêncio</v>
      </c>
      <c r="E360" s="482">
        <f>VLOOKUP(D360,'Res Nº5.290'!A:B,2,)</f>
        <v>0.47500000000000003</v>
      </c>
      <c r="F360" s="485">
        <f>(Tabela4[[#This Row],[Horas]]-INT(Tabela4[[#This Row],[Horas]]))*24</f>
        <v>11.4</v>
      </c>
      <c r="G360">
        <v>2.2999999999999998</v>
      </c>
      <c r="M360" s="413"/>
      <c r="N360" s="485"/>
    </row>
    <row r="361" spans="1:14" x14ac:dyDescent="0.25">
      <c r="A361" t="s">
        <v>668</v>
      </c>
      <c r="B361" t="s">
        <v>495</v>
      </c>
      <c r="C361" t="s">
        <v>1367</v>
      </c>
      <c r="D361" t="str">
        <f t="shared" si="12"/>
        <v>RS - São José do Sul</v>
      </c>
      <c r="E361" s="482">
        <f>VLOOKUP(D361,'Res Nº5.290'!A:B,2,)</f>
        <v>0.47500000000000003</v>
      </c>
      <c r="F361" s="485">
        <f>(Tabela4[[#This Row],[Horas]]-INT(Tabela4[[#This Row],[Horas]]))*24</f>
        <v>11.4</v>
      </c>
      <c r="G361">
        <v>2.2999999999999998</v>
      </c>
      <c r="M361" s="413"/>
      <c r="N361" s="485"/>
    </row>
    <row r="362" spans="1:14" x14ac:dyDescent="0.25">
      <c r="A362" t="s">
        <v>668</v>
      </c>
      <c r="B362" t="s">
        <v>495</v>
      </c>
      <c r="C362" t="s">
        <v>1368</v>
      </c>
      <c r="D362" t="str">
        <f t="shared" si="12"/>
        <v>RS - São Leopoldo</v>
      </c>
      <c r="E362" s="482">
        <f>VLOOKUP(D362,'Res Nº5.290'!A:B,2,)</f>
        <v>0.47500000000000003</v>
      </c>
      <c r="F362" s="485">
        <f>(Tabela4[[#This Row],[Horas]]-INT(Tabela4[[#This Row],[Horas]]))*24</f>
        <v>11.4</v>
      </c>
      <c r="G362">
        <v>2.2999999999999998</v>
      </c>
      <c r="M362" s="413"/>
      <c r="N362" s="485"/>
    </row>
    <row r="363" spans="1:14" x14ac:dyDescent="0.25">
      <c r="A363" t="s">
        <v>668</v>
      </c>
      <c r="B363" t="s">
        <v>495</v>
      </c>
      <c r="C363" t="s">
        <v>1369</v>
      </c>
      <c r="D363" t="str">
        <f t="shared" si="12"/>
        <v>RS - São Miguel das Missões</v>
      </c>
      <c r="E363" s="482">
        <f>VLOOKUP(D363,'Res Nº5.290'!A:B,2,)</f>
        <v>0.47500000000000003</v>
      </c>
      <c r="F363" s="485">
        <f>(Tabela4[[#This Row],[Horas]]-INT(Tabela4[[#This Row],[Horas]]))*24</f>
        <v>11.4</v>
      </c>
      <c r="G363">
        <v>2.2999999999999998</v>
      </c>
      <c r="M363" s="413"/>
      <c r="N363" s="485"/>
    </row>
    <row r="364" spans="1:14" x14ac:dyDescent="0.25">
      <c r="A364" t="s">
        <v>668</v>
      </c>
      <c r="B364" t="s">
        <v>495</v>
      </c>
      <c r="C364" t="s">
        <v>1370</v>
      </c>
      <c r="D364" t="str">
        <f t="shared" si="12"/>
        <v>RS - São Pedro do Sul</v>
      </c>
      <c r="E364" s="482">
        <f>VLOOKUP(D364,'Res Nº5.290'!A:B,2,)</f>
        <v>0.47500000000000003</v>
      </c>
      <c r="F364" s="485">
        <f>(Tabela4[[#This Row],[Horas]]-INT(Tabela4[[#This Row],[Horas]]))*24</f>
        <v>11.4</v>
      </c>
      <c r="G364">
        <v>2.2999999999999998</v>
      </c>
      <c r="M364" s="413"/>
      <c r="N364" s="485"/>
    </row>
    <row r="365" spans="1:14" x14ac:dyDescent="0.25">
      <c r="A365" t="s">
        <v>668</v>
      </c>
      <c r="B365" t="s">
        <v>495</v>
      </c>
      <c r="C365" t="s">
        <v>1371</v>
      </c>
      <c r="D365" t="str">
        <f t="shared" si="12"/>
        <v>RS - São Sebastião do Caí</v>
      </c>
      <c r="E365" s="482">
        <f>VLOOKUP(D365,'Res Nº5.290'!A:B,2,)</f>
        <v>0.47500000000000003</v>
      </c>
      <c r="F365" s="485">
        <f>(Tabela4[[#This Row],[Horas]]-INT(Tabela4[[#This Row],[Horas]]))*24</f>
        <v>11.4</v>
      </c>
      <c r="G365">
        <v>2.2999999999999998</v>
      </c>
      <c r="M365" s="413"/>
      <c r="N365" s="485"/>
    </row>
    <row r="366" spans="1:14" x14ac:dyDescent="0.25">
      <c r="A366" t="s">
        <v>668</v>
      </c>
      <c r="B366" t="s">
        <v>495</v>
      </c>
      <c r="C366" t="s">
        <v>1372</v>
      </c>
      <c r="D366" t="str">
        <f t="shared" si="12"/>
        <v>RS - São Sepé</v>
      </c>
      <c r="E366" s="482">
        <f>VLOOKUP(D366,'Res Nº5.290'!A:B,2,)</f>
        <v>0.47430555555555554</v>
      </c>
      <c r="F366" s="485">
        <f>(Tabela4[[#This Row],[Horas]]-INT(Tabela4[[#This Row],[Horas]]))*24</f>
        <v>11.383333333333333</v>
      </c>
      <c r="G366">
        <v>2.2999999999999998</v>
      </c>
      <c r="M366" s="413"/>
      <c r="N366" s="485"/>
    </row>
    <row r="367" spans="1:14" x14ac:dyDescent="0.25">
      <c r="A367" t="s">
        <v>668</v>
      </c>
      <c r="B367" t="s">
        <v>495</v>
      </c>
      <c r="C367" t="s">
        <v>1373</v>
      </c>
      <c r="D367" t="str">
        <f t="shared" si="12"/>
        <v>RS - São Vendelino</v>
      </c>
      <c r="E367" s="482">
        <f>VLOOKUP(D367,'Res Nº5.290'!A:B,2,)</f>
        <v>0.47500000000000003</v>
      </c>
      <c r="F367" s="485">
        <f>(Tabela4[[#This Row],[Horas]]-INT(Tabela4[[#This Row],[Horas]]))*24</f>
        <v>11.4</v>
      </c>
      <c r="G367">
        <v>2.2999999999999998</v>
      </c>
      <c r="M367" s="413"/>
      <c r="N367" s="485"/>
    </row>
    <row r="368" spans="1:14" x14ac:dyDescent="0.25">
      <c r="A368" t="s">
        <v>668</v>
      </c>
      <c r="B368" t="s">
        <v>495</v>
      </c>
      <c r="C368" t="s">
        <v>1374</v>
      </c>
      <c r="D368" t="str">
        <f t="shared" si="12"/>
        <v>RS - São Vicente do Sul</v>
      </c>
      <c r="E368" s="482">
        <f>VLOOKUP(D368,'Res Nº5.290'!A:B,2,)</f>
        <v>0.47500000000000003</v>
      </c>
      <c r="F368" s="485">
        <f>(Tabela4[[#This Row],[Horas]]-INT(Tabela4[[#This Row],[Horas]]))*24</f>
        <v>11.4</v>
      </c>
      <c r="G368">
        <v>2.2999999999999998</v>
      </c>
      <c r="M368" s="413"/>
      <c r="N368" s="485"/>
    </row>
    <row r="369" spans="1:14" x14ac:dyDescent="0.25">
      <c r="A369" t="s">
        <v>668</v>
      </c>
      <c r="B369" t="s">
        <v>495</v>
      </c>
      <c r="C369" t="s">
        <v>1375</v>
      </c>
      <c r="D369" t="str">
        <f t="shared" si="12"/>
        <v>RS - Sapiranga</v>
      </c>
      <c r="E369" s="482">
        <f>VLOOKUP(D369,'Res Nº5.290'!A:B,2,)</f>
        <v>0.47500000000000003</v>
      </c>
      <c r="F369" s="485">
        <f>(Tabela4[[#This Row],[Horas]]-INT(Tabela4[[#This Row],[Horas]]))*24</f>
        <v>11.4</v>
      </c>
      <c r="G369">
        <v>2.2999999999999998</v>
      </c>
      <c r="M369" s="413"/>
      <c r="N369" s="485"/>
    </row>
    <row r="370" spans="1:14" x14ac:dyDescent="0.25">
      <c r="A370" t="s">
        <v>668</v>
      </c>
      <c r="B370" t="s">
        <v>495</v>
      </c>
      <c r="C370" t="s">
        <v>1376</v>
      </c>
      <c r="D370" t="str">
        <f t="shared" si="12"/>
        <v>RS - Segredo</v>
      </c>
      <c r="E370" s="482">
        <f>VLOOKUP(D370,'Res Nº5.290'!A:B,2,)</f>
        <v>0.47500000000000003</v>
      </c>
      <c r="F370" s="485">
        <f>(Tabela4[[#This Row],[Horas]]-INT(Tabela4[[#This Row],[Horas]]))*24</f>
        <v>11.4</v>
      </c>
      <c r="G370">
        <v>2.2999999999999998</v>
      </c>
      <c r="M370" s="413"/>
      <c r="N370" s="485"/>
    </row>
    <row r="371" spans="1:14" x14ac:dyDescent="0.25">
      <c r="A371" t="s">
        <v>668</v>
      </c>
      <c r="B371" t="s">
        <v>495</v>
      </c>
      <c r="C371" t="s">
        <v>1377</v>
      </c>
      <c r="D371" t="str">
        <f t="shared" si="12"/>
        <v>RS - Sério</v>
      </c>
      <c r="E371" s="482">
        <f>VLOOKUP(D371,'Res Nº5.290'!A:B,2,)</f>
        <v>0.47500000000000003</v>
      </c>
      <c r="F371" s="485">
        <f>(Tabela4[[#This Row],[Horas]]-INT(Tabela4[[#This Row],[Horas]]))*24</f>
        <v>11.4</v>
      </c>
      <c r="G371">
        <v>2.2999999999999998</v>
      </c>
      <c r="M371" s="413"/>
      <c r="N371" s="485"/>
    </row>
    <row r="372" spans="1:14" x14ac:dyDescent="0.25">
      <c r="A372" t="s">
        <v>668</v>
      </c>
      <c r="B372" t="s">
        <v>495</v>
      </c>
      <c r="C372" t="s">
        <v>1378</v>
      </c>
      <c r="D372" t="str">
        <f t="shared" si="12"/>
        <v>RS - Sinimbu</v>
      </c>
      <c r="E372" s="482">
        <f>VLOOKUP(D372,'Res Nº5.290'!A:B,2,)</f>
        <v>0.47500000000000003</v>
      </c>
      <c r="F372" s="485">
        <f>(Tabela4[[#This Row],[Horas]]-INT(Tabela4[[#This Row],[Horas]]))*24</f>
        <v>11.4</v>
      </c>
      <c r="G372">
        <v>2.2999999999999998</v>
      </c>
      <c r="M372" s="413"/>
      <c r="N372" s="485"/>
    </row>
    <row r="373" spans="1:14" x14ac:dyDescent="0.25">
      <c r="A373" t="s">
        <v>668</v>
      </c>
      <c r="B373" t="s">
        <v>495</v>
      </c>
      <c r="C373" t="s">
        <v>1379</v>
      </c>
      <c r="D373" t="str">
        <f t="shared" si="12"/>
        <v>RS - Sobradinho</v>
      </c>
      <c r="E373" s="482">
        <f>VLOOKUP(D373,'Res Nº5.290'!A:B,2,)</f>
        <v>0.47500000000000003</v>
      </c>
      <c r="F373" s="485">
        <f>(Tabela4[[#This Row],[Horas]]-INT(Tabela4[[#This Row],[Horas]]))*24</f>
        <v>11.4</v>
      </c>
      <c r="G373">
        <v>2.2999999999999998</v>
      </c>
      <c r="M373" s="413"/>
      <c r="N373" s="485"/>
    </row>
    <row r="374" spans="1:14" x14ac:dyDescent="0.25">
      <c r="A374" t="s">
        <v>668</v>
      </c>
      <c r="B374" t="s">
        <v>495</v>
      </c>
      <c r="C374" t="s">
        <v>1380</v>
      </c>
      <c r="D374" t="str">
        <f t="shared" si="12"/>
        <v>RS - Tabaí</v>
      </c>
      <c r="E374" s="482">
        <f>VLOOKUP(D374,'Res Nº5.290'!A:B,2,)</f>
        <v>0.47500000000000003</v>
      </c>
      <c r="F374" s="485">
        <f>(Tabela4[[#This Row],[Horas]]-INT(Tabela4[[#This Row],[Horas]]))*24</f>
        <v>11.4</v>
      </c>
      <c r="G374">
        <v>2.2999999999999998</v>
      </c>
      <c r="M374" s="413"/>
      <c r="N374" s="485"/>
    </row>
    <row r="375" spans="1:14" x14ac:dyDescent="0.25">
      <c r="A375" t="s">
        <v>668</v>
      </c>
      <c r="B375" t="s">
        <v>495</v>
      </c>
      <c r="C375" t="s">
        <v>1381</v>
      </c>
      <c r="D375" t="str">
        <f t="shared" si="12"/>
        <v>RS - Taquari</v>
      </c>
      <c r="E375" s="482">
        <f>VLOOKUP(D375,'Res Nº5.290'!A:B,2,)</f>
        <v>0.47500000000000003</v>
      </c>
      <c r="F375" s="485">
        <f>(Tabela4[[#This Row],[Horas]]-INT(Tabela4[[#This Row],[Horas]]))*24</f>
        <v>11.4</v>
      </c>
      <c r="G375">
        <v>2.2999999999999998</v>
      </c>
      <c r="M375" s="413"/>
      <c r="N375" s="485"/>
    </row>
    <row r="376" spans="1:14" x14ac:dyDescent="0.25">
      <c r="A376" t="s">
        <v>668</v>
      </c>
      <c r="B376" t="s">
        <v>495</v>
      </c>
      <c r="C376" t="s">
        <v>1382</v>
      </c>
      <c r="D376" t="str">
        <f t="shared" si="12"/>
        <v>RS - Teutônia</v>
      </c>
      <c r="E376" s="482">
        <f>VLOOKUP(D376,'Res Nº5.290'!A:B,2,)</f>
        <v>0.47500000000000003</v>
      </c>
      <c r="F376" s="485">
        <f>(Tabela4[[#This Row],[Horas]]-INT(Tabela4[[#This Row],[Horas]]))*24</f>
        <v>11.4</v>
      </c>
      <c r="G376">
        <v>2.2999999999999998</v>
      </c>
      <c r="M376" s="413"/>
      <c r="N376" s="485"/>
    </row>
    <row r="377" spans="1:14" x14ac:dyDescent="0.25">
      <c r="A377" t="s">
        <v>668</v>
      </c>
      <c r="B377" t="s">
        <v>495</v>
      </c>
      <c r="C377" t="s">
        <v>1383</v>
      </c>
      <c r="D377" t="str">
        <f t="shared" si="12"/>
        <v>RS - Toropi</v>
      </c>
      <c r="E377" s="482">
        <f>VLOOKUP(D377,'Res Nº5.290'!A:B,2,)</f>
        <v>0.47500000000000003</v>
      </c>
      <c r="F377" s="485">
        <f>(Tabela4[[#This Row],[Horas]]-INT(Tabela4[[#This Row],[Horas]]))*24</f>
        <v>11.4</v>
      </c>
      <c r="G377">
        <v>2.2999999999999998</v>
      </c>
      <c r="M377" s="413"/>
      <c r="N377" s="485"/>
    </row>
    <row r="378" spans="1:14" x14ac:dyDescent="0.25">
      <c r="A378" t="s">
        <v>668</v>
      </c>
      <c r="B378" t="s">
        <v>495</v>
      </c>
      <c r="C378" t="s">
        <v>1384</v>
      </c>
      <c r="D378" t="str">
        <f t="shared" si="12"/>
        <v>RS - Travesseiro</v>
      </c>
      <c r="E378" s="482">
        <f>VLOOKUP(D378,'Res Nº5.290'!A:B,2,)</f>
        <v>0.47500000000000003</v>
      </c>
      <c r="F378" s="485">
        <f>(Tabela4[[#This Row],[Horas]]-INT(Tabela4[[#This Row],[Horas]]))*24</f>
        <v>11.4</v>
      </c>
      <c r="G378">
        <v>2.2999999999999998</v>
      </c>
      <c r="M378" s="413"/>
      <c r="N378" s="485"/>
    </row>
    <row r="379" spans="1:14" x14ac:dyDescent="0.25">
      <c r="A379" t="s">
        <v>668</v>
      </c>
      <c r="B379" t="s">
        <v>495</v>
      </c>
      <c r="C379" t="s">
        <v>1385</v>
      </c>
      <c r="D379" t="str">
        <f t="shared" si="12"/>
        <v>RS - Triunfo</v>
      </c>
      <c r="E379" s="482">
        <f>VLOOKUP(D379,'Res Nº5.290'!A:B,2,)</f>
        <v>0.47500000000000003</v>
      </c>
      <c r="F379" s="485">
        <f>(Tabela4[[#This Row],[Horas]]-INT(Tabela4[[#This Row],[Horas]]))*24</f>
        <v>11.4</v>
      </c>
      <c r="G379">
        <v>2.2999999999999998</v>
      </c>
      <c r="M379" s="413"/>
      <c r="N379" s="485"/>
    </row>
    <row r="380" spans="1:14" x14ac:dyDescent="0.25">
      <c r="A380" t="s">
        <v>668</v>
      </c>
      <c r="B380" t="s">
        <v>495</v>
      </c>
      <c r="C380" t="s">
        <v>1386</v>
      </c>
      <c r="D380" t="str">
        <f t="shared" si="12"/>
        <v>RS - Tunas</v>
      </c>
      <c r="E380" s="482">
        <f>VLOOKUP(D380,'Res Nº5.290'!A:B,2,)</f>
        <v>0.47500000000000003</v>
      </c>
      <c r="F380" s="485">
        <f>(Tabela4[[#This Row],[Horas]]-INT(Tabela4[[#This Row],[Horas]]))*24</f>
        <v>11.4</v>
      </c>
      <c r="G380">
        <v>2.2999999999999998</v>
      </c>
      <c r="M380" s="413"/>
      <c r="N380" s="485"/>
    </row>
    <row r="381" spans="1:14" x14ac:dyDescent="0.25">
      <c r="A381" t="s">
        <v>668</v>
      </c>
      <c r="B381" t="s">
        <v>495</v>
      </c>
      <c r="C381" t="s">
        <v>1387</v>
      </c>
      <c r="D381" t="str">
        <f t="shared" si="12"/>
        <v>RS - Tupandi</v>
      </c>
      <c r="E381" s="482">
        <f>VLOOKUP(D381,'Res Nº5.290'!A:B,2,)</f>
        <v>0.47500000000000003</v>
      </c>
      <c r="F381" s="485">
        <f>(Tabela4[[#This Row],[Horas]]-INT(Tabela4[[#This Row],[Horas]]))*24</f>
        <v>11.4</v>
      </c>
      <c r="G381">
        <v>2.2999999999999998</v>
      </c>
      <c r="M381" s="413"/>
      <c r="N381" s="485"/>
    </row>
    <row r="382" spans="1:14" x14ac:dyDescent="0.25">
      <c r="A382" t="s">
        <v>668</v>
      </c>
      <c r="B382" t="s">
        <v>495</v>
      </c>
      <c r="C382" t="s">
        <v>1388</v>
      </c>
      <c r="D382" t="str">
        <f t="shared" si="12"/>
        <v>RS - Unistalda</v>
      </c>
      <c r="E382" s="482">
        <f>VLOOKUP(D382,'Res Nº5.290'!A:B,2,)</f>
        <v>0.47500000000000003</v>
      </c>
      <c r="F382" s="485">
        <f>(Tabela4[[#This Row],[Horas]]-INT(Tabela4[[#This Row],[Horas]]))*24</f>
        <v>11.4</v>
      </c>
      <c r="G382">
        <v>2.2999999999999998</v>
      </c>
      <c r="M382" s="413"/>
      <c r="N382" s="485"/>
    </row>
    <row r="383" spans="1:14" x14ac:dyDescent="0.25">
      <c r="A383" t="s">
        <v>668</v>
      </c>
      <c r="B383" t="s">
        <v>495</v>
      </c>
      <c r="C383" t="s">
        <v>1389</v>
      </c>
      <c r="D383" t="str">
        <f t="shared" si="12"/>
        <v>RS - Uruguaiana</v>
      </c>
      <c r="E383" s="482">
        <f>VLOOKUP(D383,'Res Nº5.290'!A:B,2,)</f>
        <v>0.47500000000000003</v>
      </c>
      <c r="F383" s="485">
        <f>(Tabela4[[#This Row],[Horas]]-INT(Tabela4[[#This Row],[Horas]]))*24</f>
        <v>11.4</v>
      </c>
      <c r="G383">
        <v>2.2999999999999998</v>
      </c>
      <c r="M383" s="413"/>
      <c r="N383" s="485"/>
    </row>
    <row r="384" spans="1:14" x14ac:dyDescent="0.25">
      <c r="A384" t="s">
        <v>668</v>
      </c>
      <c r="B384" t="s">
        <v>495</v>
      </c>
      <c r="C384" t="s">
        <v>1390</v>
      </c>
      <c r="D384" t="str">
        <f t="shared" si="12"/>
        <v>RS - Vale do Sol</v>
      </c>
      <c r="E384" s="482">
        <f>VLOOKUP(D384,'Res Nº5.290'!A:B,2,)</f>
        <v>0.47500000000000003</v>
      </c>
      <c r="F384" s="485">
        <f>(Tabela4[[#This Row],[Horas]]-INT(Tabela4[[#This Row],[Horas]]))*24</f>
        <v>11.4</v>
      </c>
      <c r="G384">
        <v>2.2999999999999998</v>
      </c>
      <c r="M384" s="413"/>
      <c r="N384" s="485"/>
    </row>
    <row r="385" spans="1:14" x14ac:dyDescent="0.25">
      <c r="A385" t="s">
        <v>668</v>
      </c>
      <c r="B385" t="s">
        <v>495</v>
      </c>
      <c r="C385" t="s">
        <v>1391</v>
      </c>
      <c r="D385" t="str">
        <f t="shared" si="12"/>
        <v>RS - Vale Verde</v>
      </c>
      <c r="E385" s="482">
        <f>VLOOKUP(D385,'Res Nº5.290'!A:B,2,)</f>
        <v>0.47500000000000003</v>
      </c>
      <c r="F385" s="485">
        <f>(Tabela4[[#This Row],[Horas]]-INT(Tabela4[[#This Row],[Horas]]))*24</f>
        <v>11.4</v>
      </c>
      <c r="G385">
        <v>2.2999999999999998</v>
      </c>
      <c r="M385" s="413"/>
      <c r="N385" s="485"/>
    </row>
    <row r="386" spans="1:14" x14ac:dyDescent="0.25">
      <c r="A386" t="s">
        <v>668</v>
      </c>
      <c r="B386" t="s">
        <v>495</v>
      </c>
      <c r="C386" t="s">
        <v>1392</v>
      </c>
      <c r="D386" t="str">
        <f t="shared" ref="D386:D389" si="13">CONCATENATE(B386," - ",C386)</f>
        <v>RS - Venâncio Aires</v>
      </c>
      <c r="E386" s="482">
        <f>VLOOKUP(D386,'Res Nº5.290'!A:B,2,)</f>
        <v>0.47500000000000003</v>
      </c>
      <c r="F386" s="485">
        <f>(Tabela4[[#This Row],[Horas]]-INT(Tabela4[[#This Row],[Horas]]))*24</f>
        <v>11.4</v>
      </c>
      <c r="G386">
        <v>2.2999999999999998</v>
      </c>
      <c r="M386" s="413"/>
      <c r="N386" s="485"/>
    </row>
    <row r="387" spans="1:14" x14ac:dyDescent="0.25">
      <c r="A387" t="s">
        <v>668</v>
      </c>
      <c r="B387" t="s">
        <v>495</v>
      </c>
      <c r="C387" t="s">
        <v>1237</v>
      </c>
      <c r="D387" t="str">
        <f t="shared" si="13"/>
        <v>RS - Vera Cruz</v>
      </c>
      <c r="E387" s="482">
        <f>VLOOKUP(D387,'Res Nº5.290'!A:B,2,)</f>
        <v>0.47500000000000003</v>
      </c>
      <c r="F387" s="485">
        <f>(Tabela4[[#This Row],[Horas]]-INT(Tabela4[[#This Row],[Horas]]))*24</f>
        <v>11.4</v>
      </c>
      <c r="G387">
        <v>2.2999999999999998</v>
      </c>
      <c r="M387" s="413"/>
      <c r="N387" s="485"/>
    </row>
    <row r="388" spans="1:14" x14ac:dyDescent="0.25">
      <c r="A388" t="s">
        <v>668</v>
      </c>
      <c r="B388" t="s">
        <v>495</v>
      </c>
      <c r="C388" t="s">
        <v>1393</v>
      </c>
      <c r="D388" t="str">
        <f t="shared" si="13"/>
        <v>RS - Vespasiano Correa</v>
      </c>
      <c r="E388" s="482">
        <f>VLOOKUP(D388,'Res Nº5.290'!A:B,2,)</f>
        <v>0.47500000000000003</v>
      </c>
      <c r="F388" s="485">
        <f>(Tabela4[[#This Row],[Horas]]-INT(Tabela4[[#This Row],[Horas]]))*24</f>
        <v>11.4</v>
      </c>
      <c r="G388">
        <v>2.2999999999999998</v>
      </c>
      <c r="M388" s="413"/>
      <c r="N388" s="485"/>
    </row>
    <row r="389" spans="1:14" x14ac:dyDescent="0.25">
      <c r="A389" t="s">
        <v>668</v>
      </c>
      <c r="B389" t="s">
        <v>495</v>
      </c>
      <c r="C389" t="s">
        <v>1394</v>
      </c>
      <c r="D389" t="str">
        <f t="shared" si="13"/>
        <v>RS - Vila Nova do Sul</v>
      </c>
      <c r="E389" s="482">
        <f>VLOOKUP(D389,'Res Nº5.290'!A:B,2,)</f>
        <v>0.47430555555555554</v>
      </c>
      <c r="F389" s="485">
        <f>(Tabela4[[#This Row],[Horas]]-INT(Tabela4[[#This Row],[Horas]]))*24</f>
        <v>11.383333333333333</v>
      </c>
      <c r="G389">
        <v>2.2999999999999998</v>
      </c>
      <c r="M389" s="413"/>
      <c r="N389" s="485"/>
    </row>
    <row r="390" spans="1:14" x14ac:dyDescent="0.25">
      <c r="E390" s="413"/>
      <c r="F390" s="413"/>
      <c r="M390" s="413"/>
      <c r="N390" s="485"/>
    </row>
    <row r="391" spans="1:14" x14ac:dyDescent="0.25">
      <c r="E391" s="413"/>
      <c r="F391" s="413"/>
      <c r="M391" s="413"/>
      <c r="N391" s="485"/>
    </row>
    <row r="392" spans="1:14" x14ac:dyDescent="0.25">
      <c r="E392" s="413"/>
      <c r="F392" s="413"/>
      <c r="M392" s="413"/>
      <c r="N392" s="485"/>
    </row>
    <row r="393" spans="1:14" x14ac:dyDescent="0.25">
      <c r="E393" s="413"/>
      <c r="F393" s="413"/>
      <c r="M393" s="413"/>
      <c r="N393" s="485"/>
    </row>
    <row r="394" spans="1:14" x14ac:dyDescent="0.25">
      <c r="E394" s="413"/>
      <c r="F394" s="413"/>
      <c r="M394" s="413"/>
      <c r="N394" s="485"/>
    </row>
    <row r="395" spans="1:14" x14ac:dyDescent="0.25">
      <c r="E395" s="413"/>
      <c r="F395" s="413"/>
      <c r="M395" s="413"/>
      <c r="N395" s="485"/>
    </row>
    <row r="396" spans="1:14" x14ac:dyDescent="0.25">
      <c r="E396" s="413"/>
      <c r="F396" s="413"/>
      <c r="M396" s="413"/>
      <c r="N396" s="485"/>
    </row>
    <row r="397" spans="1:14" x14ac:dyDescent="0.25">
      <c r="E397" s="413"/>
      <c r="F397" s="413"/>
      <c r="M397" s="413"/>
      <c r="N397" s="485"/>
    </row>
    <row r="398" spans="1:14" x14ac:dyDescent="0.25">
      <c r="E398" s="413"/>
      <c r="F398" s="413"/>
      <c r="M398" s="413"/>
      <c r="N398" s="485"/>
    </row>
    <row r="399" spans="1:14" x14ac:dyDescent="0.25">
      <c r="E399" s="413"/>
      <c r="F399" s="413"/>
      <c r="M399" s="413"/>
      <c r="N399" s="485"/>
    </row>
    <row r="400" spans="1:14" x14ac:dyDescent="0.25">
      <c r="E400" s="413"/>
      <c r="F400" s="413"/>
      <c r="M400" s="413"/>
      <c r="N400" s="485"/>
    </row>
    <row r="401" spans="5:14" x14ac:dyDescent="0.25">
      <c r="E401" s="413"/>
      <c r="F401" s="413"/>
      <c r="M401" s="413"/>
      <c r="N401" s="485"/>
    </row>
    <row r="402" spans="5:14" x14ac:dyDescent="0.25">
      <c r="E402" s="413"/>
      <c r="F402" s="413"/>
      <c r="M402" s="413"/>
      <c r="N402" s="485"/>
    </row>
    <row r="403" spans="5:14" x14ac:dyDescent="0.25">
      <c r="E403" s="413"/>
      <c r="F403" s="413"/>
      <c r="M403" s="413"/>
      <c r="N403" s="485"/>
    </row>
    <row r="404" spans="5:14" x14ac:dyDescent="0.25">
      <c r="E404" s="413"/>
      <c r="F404" s="413"/>
      <c r="M404" s="413"/>
      <c r="N404" s="485"/>
    </row>
    <row r="405" spans="5:14" x14ac:dyDescent="0.25">
      <c r="E405" s="413"/>
      <c r="F405" s="413"/>
      <c r="M405" s="413"/>
      <c r="N405" s="485"/>
    </row>
    <row r="406" spans="5:14" x14ac:dyDescent="0.25">
      <c r="E406" s="413"/>
      <c r="F406" s="413"/>
      <c r="M406" s="413"/>
      <c r="N406" s="485"/>
    </row>
    <row r="407" spans="5:14" x14ac:dyDescent="0.25">
      <c r="E407" s="413"/>
      <c r="F407" s="413"/>
      <c r="M407" s="413"/>
      <c r="N407" s="485"/>
    </row>
    <row r="408" spans="5:14" x14ac:dyDescent="0.25">
      <c r="E408" s="413"/>
      <c r="F408" s="413"/>
      <c r="M408" s="413"/>
      <c r="N408" s="485"/>
    </row>
    <row r="409" spans="5:14" x14ac:dyDescent="0.25">
      <c r="E409" s="413"/>
      <c r="F409" s="413"/>
      <c r="M409" s="413"/>
      <c r="N409" s="485"/>
    </row>
    <row r="410" spans="5:14" x14ac:dyDescent="0.25">
      <c r="E410" s="413"/>
      <c r="F410" s="413"/>
      <c r="M410" s="413"/>
      <c r="N410" s="485"/>
    </row>
    <row r="411" spans="5:14" x14ac:dyDescent="0.25">
      <c r="E411" s="413"/>
      <c r="F411" s="413"/>
      <c r="M411" s="413"/>
      <c r="N411" s="485"/>
    </row>
    <row r="412" spans="5:14" x14ac:dyDescent="0.25">
      <c r="E412" s="413"/>
      <c r="F412" s="413"/>
      <c r="M412" s="413"/>
      <c r="N412" s="485"/>
    </row>
    <row r="413" spans="5:14" x14ac:dyDescent="0.25">
      <c r="E413" s="413"/>
      <c r="F413" s="413"/>
      <c r="M413" s="413"/>
      <c r="N413" s="485"/>
    </row>
    <row r="414" spans="5:14" x14ac:dyDescent="0.25">
      <c r="E414" s="413"/>
      <c r="F414" s="413"/>
      <c r="M414" s="413"/>
      <c r="N414" s="485"/>
    </row>
    <row r="415" spans="5:14" x14ac:dyDescent="0.25">
      <c r="E415" s="413"/>
      <c r="F415" s="413"/>
      <c r="M415" s="413"/>
      <c r="N415" s="485"/>
    </row>
    <row r="416" spans="5:14" x14ac:dyDescent="0.25">
      <c r="E416" s="413"/>
      <c r="F416" s="413"/>
      <c r="M416" s="413"/>
      <c r="N416" s="485"/>
    </row>
    <row r="417" spans="5:14" x14ac:dyDescent="0.25">
      <c r="E417" s="413"/>
      <c r="F417" s="413"/>
      <c r="M417" s="413"/>
      <c r="N417" s="485"/>
    </row>
    <row r="418" spans="5:14" x14ac:dyDescent="0.25">
      <c r="E418" s="413"/>
      <c r="F418" s="413"/>
      <c r="M418" s="413"/>
      <c r="N418" s="485"/>
    </row>
    <row r="419" spans="5:14" x14ac:dyDescent="0.25">
      <c r="E419" s="413"/>
      <c r="F419" s="413"/>
      <c r="M419" s="413"/>
      <c r="N419" s="485"/>
    </row>
    <row r="420" spans="5:14" x14ac:dyDescent="0.25">
      <c r="E420" s="413"/>
      <c r="F420" s="413"/>
      <c r="M420" s="413"/>
      <c r="N420" s="485"/>
    </row>
    <row r="421" spans="5:14" x14ac:dyDescent="0.25">
      <c r="E421" s="413"/>
      <c r="F421" s="413"/>
      <c r="M421" s="413"/>
      <c r="N421" s="485"/>
    </row>
    <row r="422" spans="5:14" x14ac:dyDescent="0.25">
      <c r="E422" s="413"/>
      <c r="F422" s="413"/>
      <c r="M422" s="413"/>
      <c r="N422" s="485"/>
    </row>
    <row r="423" spans="5:14" x14ac:dyDescent="0.25">
      <c r="E423" s="413"/>
      <c r="F423" s="413"/>
      <c r="M423" s="413"/>
      <c r="N423" s="485"/>
    </row>
    <row r="424" spans="5:14" x14ac:dyDescent="0.25">
      <c r="E424" s="413"/>
      <c r="F424" s="413"/>
      <c r="M424" s="413"/>
      <c r="N424" s="485"/>
    </row>
    <row r="425" spans="5:14" x14ac:dyDescent="0.25">
      <c r="E425" s="413"/>
      <c r="F425" s="413"/>
      <c r="M425" s="413"/>
      <c r="N425" s="485"/>
    </row>
    <row r="426" spans="5:14" x14ac:dyDescent="0.25">
      <c r="E426" s="413"/>
      <c r="F426" s="413"/>
      <c r="M426" s="413"/>
      <c r="N426" s="485"/>
    </row>
    <row r="427" spans="5:14" x14ac:dyDescent="0.25">
      <c r="E427" s="413"/>
      <c r="F427" s="413"/>
      <c r="M427" s="413"/>
      <c r="N427" s="485"/>
    </row>
    <row r="428" spans="5:14" x14ac:dyDescent="0.25">
      <c r="E428" s="413"/>
      <c r="F428" s="413"/>
      <c r="M428" s="413"/>
      <c r="N428" s="485"/>
    </row>
    <row r="429" spans="5:14" x14ac:dyDescent="0.25">
      <c r="E429" s="413"/>
      <c r="F429" s="413"/>
      <c r="M429" s="413"/>
      <c r="N429" s="485"/>
    </row>
    <row r="430" spans="5:14" x14ac:dyDescent="0.25">
      <c r="E430" s="413"/>
      <c r="F430" s="413"/>
      <c r="M430" s="413"/>
      <c r="N430" s="485"/>
    </row>
    <row r="431" spans="5:14" x14ac:dyDescent="0.25">
      <c r="E431" s="413"/>
      <c r="F431" s="413"/>
      <c r="M431" s="413"/>
      <c r="N431" s="485"/>
    </row>
    <row r="432" spans="5:14" x14ac:dyDescent="0.25">
      <c r="E432" s="413"/>
      <c r="F432" s="413"/>
      <c r="M432" s="413"/>
      <c r="N432" s="485"/>
    </row>
    <row r="433" spans="5:14" x14ac:dyDescent="0.25">
      <c r="E433" s="413"/>
      <c r="F433" s="413"/>
      <c r="M433" s="413"/>
      <c r="N433" s="485"/>
    </row>
    <row r="434" spans="5:14" x14ac:dyDescent="0.25">
      <c r="E434" s="413"/>
      <c r="F434" s="413"/>
      <c r="M434" s="413"/>
      <c r="N434" s="485"/>
    </row>
    <row r="435" spans="5:14" x14ac:dyDescent="0.25">
      <c r="E435" s="413"/>
      <c r="F435" s="413"/>
      <c r="M435" s="413"/>
      <c r="N435" s="485"/>
    </row>
    <row r="436" spans="5:14" x14ac:dyDescent="0.25">
      <c r="E436" s="413"/>
      <c r="F436" s="413"/>
      <c r="M436" s="413"/>
      <c r="N436" s="485"/>
    </row>
    <row r="437" spans="5:14" x14ac:dyDescent="0.25">
      <c r="E437" s="413"/>
      <c r="F437" s="413"/>
      <c r="M437" s="413"/>
      <c r="N437" s="485"/>
    </row>
    <row r="438" spans="5:14" x14ac:dyDescent="0.25">
      <c r="E438" s="413"/>
      <c r="F438" s="413"/>
      <c r="M438" s="413"/>
      <c r="N438" s="485"/>
    </row>
    <row r="439" spans="5:14" x14ac:dyDescent="0.25">
      <c r="E439" s="413"/>
      <c r="F439" s="413"/>
      <c r="M439" s="413"/>
      <c r="N439" s="485"/>
    </row>
    <row r="440" spans="5:14" x14ac:dyDescent="0.25">
      <c r="E440" s="413"/>
      <c r="F440" s="413"/>
      <c r="M440" s="413"/>
      <c r="N440" s="485"/>
    </row>
    <row r="441" spans="5:14" x14ac:dyDescent="0.25">
      <c r="E441" s="413"/>
      <c r="F441" s="413"/>
      <c r="M441" s="413"/>
      <c r="N441" s="485"/>
    </row>
    <row r="442" spans="5:14" x14ac:dyDescent="0.25">
      <c r="E442" s="413"/>
      <c r="F442" s="413"/>
      <c r="M442" s="413"/>
      <c r="N442" s="485"/>
    </row>
    <row r="443" spans="5:14" x14ac:dyDescent="0.25">
      <c r="E443" s="413"/>
      <c r="F443" s="413"/>
      <c r="M443" s="413"/>
      <c r="N443" s="485"/>
    </row>
    <row r="444" spans="5:14" x14ac:dyDescent="0.25">
      <c r="E444" s="413"/>
      <c r="F444" s="413"/>
      <c r="M444" s="413"/>
      <c r="N444" s="485"/>
    </row>
    <row r="445" spans="5:14" x14ac:dyDescent="0.25">
      <c r="E445" s="413"/>
      <c r="F445" s="413"/>
      <c r="M445" s="413"/>
      <c r="N445" s="485"/>
    </row>
    <row r="446" spans="5:14" x14ac:dyDescent="0.25">
      <c r="E446" s="413"/>
      <c r="F446" s="413"/>
      <c r="M446" s="413"/>
      <c r="N446" s="485"/>
    </row>
    <row r="447" spans="5:14" x14ac:dyDescent="0.25">
      <c r="E447" s="413"/>
      <c r="F447" s="413"/>
      <c r="M447" s="413"/>
      <c r="N447" s="485"/>
    </row>
    <row r="448" spans="5:14" x14ac:dyDescent="0.25">
      <c r="E448" s="413"/>
      <c r="F448" s="413"/>
      <c r="M448" s="413"/>
      <c r="N448" s="485"/>
    </row>
    <row r="449" spans="5:14" x14ac:dyDescent="0.25">
      <c r="E449" s="413"/>
      <c r="F449" s="413"/>
      <c r="M449" s="413"/>
      <c r="N449" s="485"/>
    </row>
    <row r="450" spans="5:14" x14ac:dyDescent="0.25">
      <c r="E450" s="413"/>
      <c r="F450" s="413"/>
      <c r="M450" s="413"/>
      <c r="N450" s="485"/>
    </row>
    <row r="451" spans="5:14" x14ac:dyDescent="0.25">
      <c r="E451" s="413"/>
      <c r="F451" s="413"/>
      <c r="M451" s="413"/>
      <c r="N451" s="485"/>
    </row>
    <row r="452" spans="5:14" x14ac:dyDescent="0.25">
      <c r="E452" s="413"/>
      <c r="F452" s="413"/>
      <c r="M452" s="413"/>
      <c r="N452" s="485"/>
    </row>
    <row r="453" spans="5:14" x14ac:dyDescent="0.25">
      <c r="E453" s="413"/>
      <c r="F453" s="413"/>
      <c r="M453" s="413"/>
      <c r="N453" s="485"/>
    </row>
    <row r="454" spans="5:14" x14ac:dyDescent="0.25">
      <c r="E454" s="413"/>
      <c r="F454" s="413"/>
      <c r="M454" s="413"/>
      <c r="N454" s="485"/>
    </row>
    <row r="455" spans="5:14" x14ac:dyDescent="0.25">
      <c r="E455" s="413"/>
      <c r="F455" s="413"/>
      <c r="M455" s="413"/>
      <c r="N455" s="485"/>
    </row>
    <row r="456" spans="5:14" x14ac:dyDescent="0.25">
      <c r="E456" s="413"/>
      <c r="F456" s="413"/>
      <c r="M456" s="413"/>
      <c r="N456" s="485"/>
    </row>
    <row r="457" spans="5:14" x14ac:dyDescent="0.25">
      <c r="E457" s="413"/>
      <c r="F457" s="413"/>
      <c r="M457" s="413"/>
      <c r="N457" s="485"/>
    </row>
    <row r="458" spans="5:14" x14ac:dyDescent="0.25">
      <c r="E458" s="413"/>
      <c r="F458" s="413"/>
      <c r="M458" s="413"/>
      <c r="N458" s="485"/>
    </row>
    <row r="459" spans="5:14" x14ac:dyDescent="0.25">
      <c r="E459" s="413"/>
      <c r="F459" s="413"/>
      <c r="M459" s="413"/>
      <c r="N459" s="485"/>
    </row>
    <row r="460" spans="5:14" x14ac:dyDescent="0.25">
      <c r="E460" s="413"/>
      <c r="F460" s="413"/>
      <c r="M460" s="413"/>
      <c r="N460" s="485"/>
    </row>
    <row r="461" spans="5:14" x14ac:dyDescent="0.25">
      <c r="E461" s="413"/>
      <c r="F461" s="413"/>
      <c r="M461" s="413"/>
      <c r="N461" s="485"/>
    </row>
    <row r="462" spans="5:14" x14ac:dyDescent="0.25">
      <c r="E462" s="413"/>
      <c r="F462" s="413"/>
      <c r="M462" s="413"/>
      <c r="N462" s="485"/>
    </row>
    <row r="463" spans="5:14" x14ac:dyDescent="0.25">
      <c r="E463" s="413"/>
      <c r="F463" s="413"/>
      <c r="M463" s="413"/>
      <c r="N463" s="485"/>
    </row>
    <row r="464" spans="5:14" x14ac:dyDescent="0.25">
      <c r="E464" s="413"/>
      <c r="F464" s="413"/>
      <c r="M464" s="413"/>
      <c r="N464" s="485"/>
    </row>
    <row r="465" spans="5:14" x14ac:dyDescent="0.25">
      <c r="E465" s="413"/>
      <c r="F465" s="413"/>
      <c r="M465" s="413"/>
      <c r="N465" s="485"/>
    </row>
    <row r="466" spans="5:14" x14ac:dyDescent="0.25">
      <c r="E466" s="413"/>
      <c r="F466" s="413"/>
      <c r="M466" s="413"/>
      <c r="N466" s="485"/>
    </row>
    <row r="467" spans="5:14" x14ac:dyDescent="0.25">
      <c r="E467" s="413"/>
      <c r="F467" s="413"/>
      <c r="M467" s="413"/>
      <c r="N467" s="485"/>
    </row>
    <row r="468" spans="5:14" x14ac:dyDescent="0.25">
      <c r="E468" s="413"/>
      <c r="F468" s="413"/>
      <c r="M468" s="413"/>
      <c r="N468" s="485"/>
    </row>
    <row r="469" spans="5:14" x14ac:dyDescent="0.25">
      <c r="E469" s="413"/>
      <c r="F469" s="413"/>
      <c r="M469" s="413"/>
      <c r="N469" s="485"/>
    </row>
    <row r="470" spans="5:14" x14ac:dyDescent="0.25">
      <c r="E470" s="413"/>
      <c r="F470" s="413"/>
      <c r="M470" s="413"/>
      <c r="N470" s="485"/>
    </row>
    <row r="471" spans="5:14" x14ac:dyDescent="0.25">
      <c r="E471" s="413"/>
      <c r="F471" s="413"/>
      <c r="M471" s="413"/>
      <c r="N471" s="485"/>
    </row>
    <row r="472" spans="5:14" x14ac:dyDescent="0.25">
      <c r="E472" s="413"/>
      <c r="F472" s="413"/>
      <c r="M472" s="413"/>
      <c r="N472" s="485"/>
    </row>
    <row r="473" spans="5:14" x14ac:dyDescent="0.25">
      <c r="E473" s="413"/>
      <c r="F473" s="413"/>
      <c r="M473" s="413"/>
      <c r="N473" s="485"/>
    </row>
    <row r="474" spans="5:14" x14ac:dyDescent="0.25">
      <c r="E474" s="413"/>
      <c r="F474" s="413"/>
      <c r="M474" s="413"/>
      <c r="N474" s="485"/>
    </row>
    <row r="475" spans="5:14" x14ac:dyDescent="0.25">
      <c r="E475" s="413"/>
      <c r="F475" s="413"/>
      <c r="M475" s="413"/>
      <c r="N475" s="485"/>
    </row>
    <row r="476" spans="5:14" x14ac:dyDescent="0.25">
      <c r="E476" s="413"/>
      <c r="F476" s="413"/>
      <c r="M476" s="413"/>
      <c r="N476" s="485"/>
    </row>
    <row r="477" spans="5:14" x14ac:dyDescent="0.25">
      <c r="E477" s="413"/>
      <c r="F477" s="413"/>
      <c r="M477" s="413"/>
      <c r="N477" s="485"/>
    </row>
    <row r="478" spans="5:14" x14ac:dyDescent="0.25">
      <c r="E478" s="413"/>
      <c r="F478" s="413"/>
      <c r="M478" s="413"/>
      <c r="N478" s="485"/>
    </row>
    <row r="479" spans="5:14" x14ac:dyDescent="0.25">
      <c r="E479" s="413"/>
      <c r="F479" s="413"/>
      <c r="M479" s="413"/>
      <c r="N479" s="485"/>
    </row>
    <row r="480" spans="5:14" x14ac:dyDescent="0.25">
      <c r="E480" s="413"/>
      <c r="F480" s="413"/>
      <c r="M480" s="413"/>
      <c r="N480" s="485"/>
    </row>
    <row r="481" spans="5:14" x14ac:dyDescent="0.25">
      <c r="E481" s="413"/>
      <c r="F481" s="413"/>
      <c r="M481" s="413"/>
      <c r="N481" s="485"/>
    </row>
    <row r="482" spans="5:14" x14ac:dyDescent="0.25">
      <c r="E482" s="413"/>
      <c r="F482" s="413"/>
      <c r="M482" s="413"/>
      <c r="N482" s="485"/>
    </row>
    <row r="483" spans="5:14" x14ac:dyDescent="0.25">
      <c r="E483" s="413"/>
      <c r="F483" s="413"/>
      <c r="M483" s="413"/>
      <c r="N483" s="485"/>
    </row>
    <row r="484" spans="5:14" x14ac:dyDescent="0.25">
      <c r="E484" s="413"/>
      <c r="F484" s="413"/>
      <c r="M484" s="413"/>
      <c r="N484" s="485"/>
    </row>
    <row r="485" spans="5:14" x14ac:dyDescent="0.25">
      <c r="E485" s="413"/>
      <c r="F485" s="413"/>
      <c r="M485" s="413"/>
      <c r="N485" s="485"/>
    </row>
    <row r="486" spans="5:14" x14ac:dyDescent="0.25">
      <c r="E486" s="413"/>
      <c r="F486" s="413"/>
      <c r="M486" s="413"/>
      <c r="N486" s="485"/>
    </row>
    <row r="487" spans="5:14" x14ac:dyDescent="0.25">
      <c r="E487" s="413"/>
      <c r="F487" s="413"/>
      <c r="M487" s="413"/>
      <c r="N487" s="485"/>
    </row>
    <row r="488" spans="5:14" x14ac:dyDescent="0.25">
      <c r="E488" s="413"/>
      <c r="F488" s="413"/>
      <c r="M488" s="413"/>
      <c r="N488" s="485"/>
    </row>
    <row r="489" spans="5:14" x14ac:dyDescent="0.25">
      <c r="E489" s="413"/>
      <c r="F489" s="413"/>
      <c r="M489" s="413"/>
      <c r="N489" s="485"/>
    </row>
    <row r="490" spans="5:14" x14ac:dyDescent="0.25">
      <c r="E490" s="413"/>
      <c r="F490" s="413"/>
      <c r="M490" s="413"/>
      <c r="N490" s="485"/>
    </row>
    <row r="491" spans="5:14" x14ac:dyDescent="0.25">
      <c r="E491" s="413"/>
      <c r="F491" s="413"/>
      <c r="M491" s="413"/>
      <c r="N491" s="485"/>
    </row>
    <row r="492" spans="5:14" x14ac:dyDescent="0.25">
      <c r="E492" s="413"/>
      <c r="F492" s="413"/>
      <c r="M492" s="413"/>
      <c r="N492" s="485"/>
    </row>
    <row r="493" spans="5:14" x14ac:dyDescent="0.25">
      <c r="E493" s="413"/>
      <c r="F493" s="413"/>
      <c r="M493" s="413"/>
      <c r="N493" s="485"/>
    </row>
    <row r="494" spans="5:14" x14ac:dyDescent="0.25">
      <c r="E494" s="413"/>
      <c r="F494" s="413"/>
      <c r="M494" s="413"/>
      <c r="N494" s="485"/>
    </row>
    <row r="495" spans="5:14" x14ac:dyDescent="0.25">
      <c r="E495" s="413"/>
      <c r="F495" s="413"/>
      <c r="M495" s="413"/>
      <c r="N495" s="485"/>
    </row>
    <row r="496" spans="5:14" x14ac:dyDescent="0.25">
      <c r="E496" s="413"/>
      <c r="F496" s="413"/>
      <c r="M496" s="413"/>
      <c r="N496" s="485"/>
    </row>
    <row r="497" spans="5:14" x14ac:dyDescent="0.25">
      <c r="E497" s="413"/>
      <c r="F497" s="413"/>
      <c r="M497" s="413"/>
      <c r="N497" s="485"/>
    </row>
    <row r="498" spans="5:14" x14ac:dyDescent="0.25">
      <c r="E498" s="413"/>
      <c r="F498" s="413"/>
      <c r="M498" s="413"/>
      <c r="N498" s="485"/>
    </row>
    <row r="499" spans="5:14" x14ac:dyDescent="0.25">
      <c r="M499" s="413"/>
      <c r="N499" s="485"/>
    </row>
    <row r="500" spans="5:14" x14ac:dyDescent="0.25">
      <c r="M500" s="413"/>
      <c r="N500" s="485"/>
    </row>
    <row r="501" spans="5:14" x14ac:dyDescent="0.25">
      <c r="M501" s="413"/>
      <c r="N501" s="485"/>
    </row>
    <row r="502" spans="5:14" x14ac:dyDescent="0.25">
      <c r="M502" s="413"/>
      <c r="N502" s="485"/>
    </row>
    <row r="503" spans="5:14" x14ac:dyDescent="0.25">
      <c r="M503" s="413"/>
      <c r="N503" s="485"/>
    </row>
    <row r="504" spans="5:14" x14ac:dyDescent="0.25">
      <c r="M504" s="413"/>
      <c r="N504" s="485"/>
    </row>
    <row r="505" spans="5:14" x14ac:dyDescent="0.25">
      <c r="M505" s="413"/>
      <c r="N505" s="485"/>
    </row>
    <row r="506" spans="5:14" x14ac:dyDescent="0.25">
      <c r="M506" s="413"/>
      <c r="N506" s="485"/>
    </row>
    <row r="507" spans="5:14" x14ac:dyDescent="0.25">
      <c r="M507" s="413"/>
      <c r="N507" s="485"/>
    </row>
    <row r="508" spans="5:14" x14ac:dyDescent="0.25">
      <c r="M508" s="413"/>
      <c r="N508" s="485"/>
    </row>
    <row r="509" spans="5:14" x14ac:dyDescent="0.25">
      <c r="M509" s="413"/>
      <c r="N509" s="485"/>
    </row>
    <row r="510" spans="5:14" x14ac:dyDescent="0.25">
      <c r="M510" s="413"/>
      <c r="N510" s="485"/>
    </row>
    <row r="511" spans="5:14" x14ac:dyDescent="0.25">
      <c r="M511" s="413"/>
      <c r="N511" s="485"/>
    </row>
    <row r="512" spans="5:14" x14ac:dyDescent="0.25">
      <c r="M512" s="413"/>
      <c r="N512" s="485"/>
    </row>
    <row r="513" spans="13:14" x14ac:dyDescent="0.25">
      <c r="M513" s="413"/>
      <c r="N513" s="485"/>
    </row>
    <row r="514" spans="13:14" x14ac:dyDescent="0.25">
      <c r="M514" s="413"/>
      <c r="N514" s="485"/>
    </row>
    <row r="515" spans="13:14" x14ac:dyDescent="0.25">
      <c r="M515" s="413"/>
      <c r="N515" s="485"/>
    </row>
    <row r="516" spans="13:14" x14ac:dyDescent="0.25">
      <c r="M516" s="413"/>
      <c r="N516" s="485"/>
    </row>
    <row r="517" spans="13:14" x14ac:dyDescent="0.25">
      <c r="M517" s="413"/>
      <c r="N517" s="485"/>
    </row>
    <row r="518" spans="13:14" x14ac:dyDescent="0.25">
      <c r="M518" s="413"/>
      <c r="N518" s="485"/>
    </row>
    <row r="519" spans="13:14" x14ac:dyDescent="0.25">
      <c r="M519" s="413"/>
      <c r="N519" s="485"/>
    </row>
    <row r="520" spans="13:14" x14ac:dyDescent="0.25">
      <c r="M520" s="413"/>
      <c r="N520" s="485"/>
    </row>
    <row r="521" spans="13:14" x14ac:dyDescent="0.25">
      <c r="M521" s="413"/>
      <c r="N521" s="485"/>
    </row>
    <row r="522" spans="13:14" x14ac:dyDescent="0.25">
      <c r="M522" s="413"/>
      <c r="N522" s="485"/>
    </row>
    <row r="523" spans="13:14" x14ac:dyDescent="0.25">
      <c r="M523" s="413"/>
      <c r="N523" s="485"/>
    </row>
    <row r="524" spans="13:14" x14ac:dyDescent="0.25">
      <c r="M524" s="413"/>
      <c r="N524" s="485"/>
    </row>
    <row r="525" spans="13:14" x14ac:dyDescent="0.25">
      <c r="M525" s="413"/>
      <c r="N525" s="485"/>
    </row>
    <row r="526" spans="13:14" x14ac:dyDescent="0.25">
      <c r="M526" s="413"/>
      <c r="N526" s="485"/>
    </row>
    <row r="527" spans="13:14" x14ac:dyDescent="0.25">
      <c r="M527" s="413"/>
      <c r="N527" s="485"/>
    </row>
    <row r="528" spans="13:14" x14ac:dyDescent="0.25">
      <c r="M528" s="413"/>
      <c r="N528" s="485"/>
    </row>
    <row r="529" spans="13:14" x14ac:dyDescent="0.25">
      <c r="M529" s="413"/>
      <c r="N529" s="485"/>
    </row>
    <row r="530" spans="13:14" x14ac:dyDescent="0.25">
      <c r="M530" s="413"/>
      <c r="N530" s="485"/>
    </row>
    <row r="531" spans="13:14" x14ac:dyDescent="0.25">
      <c r="M531" s="413"/>
      <c r="N531" s="485"/>
    </row>
    <row r="532" spans="13:14" x14ac:dyDescent="0.25">
      <c r="M532" s="413"/>
      <c r="N532" s="485"/>
    </row>
    <row r="533" spans="13:14" x14ac:dyDescent="0.25">
      <c r="M533" s="413"/>
      <c r="N533" s="485"/>
    </row>
    <row r="534" spans="13:14" x14ac:dyDescent="0.25">
      <c r="M534" s="413"/>
      <c r="N534" s="485"/>
    </row>
    <row r="535" spans="13:14" x14ac:dyDescent="0.25">
      <c r="M535" s="413"/>
      <c r="N535" s="485"/>
    </row>
    <row r="536" spans="13:14" x14ac:dyDescent="0.25">
      <c r="M536" s="413"/>
      <c r="N536" s="485"/>
    </row>
    <row r="537" spans="13:14" x14ac:dyDescent="0.25">
      <c r="M537" s="413"/>
      <c r="N537" s="485"/>
    </row>
    <row r="538" spans="13:14" x14ac:dyDescent="0.25">
      <c r="M538" s="413"/>
      <c r="N538" s="485"/>
    </row>
    <row r="539" spans="13:14" x14ac:dyDescent="0.25">
      <c r="M539" s="413"/>
      <c r="N539" s="485"/>
    </row>
    <row r="540" spans="13:14" x14ac:dyDescent="0.25">
      <c r="M540" s="413"/>
      <c r="N540" s="485"/>
    </row>
    <row r="541" spans="13:14" x14ac:dyDescent="0.25">
      <c r="M541" s="413"/>
      <c r="N541" s="485"/>
    </row>
    <row r="542" spans="13:14" x14ac:dyDescent="0.25">
      <c r="M542" s="413"/>
      <c r="N542" s="485"/>
    </row>
    <row r="543" spans="13:14" x14ac:dyDescent="0.25">
      <c r="M543" s="413"/>
      <c r="N543" s="485"/>
    </row>
    <row r="544" spans="13:14" x14ac:dyDescent="0.25">
      <c r="M544" s="413"/>
      <c r="N544" s="485"/>
    </row>
    <row r="545" spans="13:14" x14ac:dyDescent="0.25">
      <c r="M545" s="413"/>
      <c r="N545" s="485"/>
    </row>
    <row r="546" spans="13:14" x14ac:dyDescent="0.25">
      <c r="M546" s="413"/>
      <c r="N546" s="485"/>
    </row>
    <row r="547" spans="13:14" x14ac:dyDescent="0.25">
      <c r="M547" s="413"/>
      <c r="N547" s="485"/>
    </row>
    <row r="548" spans="13:14" x14ac:dyDescent="0.25">
      <c r="M548" s="413"/>
      <c r="N548" s="485"/>
    </row>
    <row r="549" spans="13:14" x14ac:dyDescent="0.25">
      <c r="M549" s="413"/>
      <c r="N549" s="485"/>
    </row>
    <row r="550" spans="13:14" x14ac:dyDescent="0.25">
      <c r="M550" s="413"/>
      <c r="N550" s="485"/>
    </row>
    <row r="551" spans="13:14" x14ac:dyDescent="0.25">
      <c r="M551" s="413"/>
      <c r="N551" s="485"/>
    </row>
    <row r="552" spans="13:14" x14ac:dyDescent="0.25">
      <c r="M552" s="413"/>
      <c r="N552" s="485"/>
    </row>
    <row r="553" spans="13:14" x14ac:dyDescent="0.25">
      <c r="M553" s="413"/>
      <c r="N553" s="485"/>
    </row>
    <row r="554" spans="13:14" x14ac:dyDescent="0.25">
      <c r="M554" s="413"/>
      <c r="N554" s="485"/>
    </row>
    <row r="555" spans="13:14" x14ac:dyDescent="0.25">
      <c r="M555" s="413"/>
      <c r="N555" s="485"/>
    </row>
    <row r="556" spans="13:14" x14ac:dyDescent="0.25">
      <c r="M556" s="413"/>
      <c r="N556" s="485"/>
    </row>
    <row r="557" spans="13:14" x14ac:dyDescent="0.25">
      <c r="M557" s="413"/>
      <c r="N557" s="485"/>
    </row>
    <row r="558" spans="13:14" x14ac:dyDescent="0.25">
      <c r="M558" s="413"/>
      <c r="N558" s="485"/>
    </row>
    <row r="559" spans="13:14" x14ac:dyDescent="0.25">
      <c r="M559" s="413"/>
      <c r="N559" s="485"/>
    </row>
    <row r="560" spans="13:14" x14ac:dyDescent="0.25">
      <c r="M560" s="413"/>
      <c r="N560" s="485"/>
    </row>
    <row r="561" spans="13:14" x14ac:dyDescent="0.25">
      <c r="M561" s="413"/>
      <c r="N561" s="485"/>
    </row>
    <row r="562" spans="13:14" x14ac:dyDescent="0.25">
      <c r="M562" s="413"/>
      <c r="N562" s="485"/>
    </row>
    <row r="563" spans="13:14" x14ac:dyDescent="0.25">
      <c r="M563" s="413"/>
      <c r="N563" s="485"/>
    </row>
    <row r="564" spans="13:14" x14ac:dyDescent="0.25">
      <c r="M564" s="413"/>
      <c r="N564" s="485"/>
    </row>
    <row r="565" spans="13:14" x14ac:dyDescent="0.25">
      <c r="M565" s="413"/>
      <c r="N565" s="485"/>
    </row>
    <row r="566" spans="13:14" x14ac:dyDescent="0.25">
      <c r="M566" s="413"/>
      <c r="N566" s="485"/>
    </row>
    <row r="567" spans="13:14" x14ac:dyDescent="0.25">
      <c r="M567" s="413"/>
      <c r="N567" s="485"/>
    </row>
    <row r="568" spans="13:14" x14ac:dyDescent="0.25">
      <c r="M568" s="413"/>
      <c r="N568" s="485"/>
    </row>
    <row r="569" spans="13:14" x14ac:dyDescent="0.25">
      <c r="M569" s="413"/>
      <c r="N569" s="485"/>
    </row>
    <row r="570" spans="13:14" x14ac:dyDescent="0.25">
      <c r="M570" s="413"/>
      <c r="N570" s="485"/>
    </row>
    <row r="571" spans="13:14" x14ac:dyDescent="0.25">
      <c r="M571" s="413"/>
      <c r="N571" s="485"/>
    </row>
    <row r="572" spans="13:14" x14ac:dyDescent="0.25">
      <c r="M572" s="413"/>
      <c r="N572" s="485"/>
    </row>
    <row r="573" spans="13:14" x14ac:dyDescent="0.25">
      <c r="M573" s="413"/>
      <c r="N573" s="485"/>
    </row>
    <row r="574" spans="13:14" x14ac:dyDescent="0.25">
      <c r="M574" s="413"/>
      <c r="N574" s="485"/>
    </row>
    <row r="575" spans="13:14" x14ac:dyDescent="0.25">
      <c r="M575" s="413"/>
      <c r="N575" s="485"/>
    </row>
    <row r="576" spans="13:14" x14ac:dyDescent="0.25">
      <c r="M576" s="413"/>
      <c r="N576" s="485"/>
    </row>
    <row r="577" spans="13:14" x14ac:dyDescent="0.25">
      <c r="M577" s="413"/>
      <c r="N577" s="485"/>
    </row>
    <row r="578" spans="13:14" x14ac:dyDescent="0.25">
      <c r="M578" s="413"/>
      <c r="N578" s="485"/>
    </row>
    <row r="579" spans="13:14" x14ac:dyDescent="0.25">
      <c r="M579" s="413"/>
      <c r="N579" s="485"/>
    </row>
    <row r="580" spans="13:14" x14ac:dyDescent="0.25">
      <c r="M580" s="413"/>
      <c r="N580" s="485"/>
    </row>
    <row r="581" spans="13:14" x14ac:dyDescent="0.25">
      <c r="M581" s="413"/>
      <c r="N581" s="485"/>
    </row>
    <row r="582" spans="13:14" x14ac:dyDescent="0.25">
      <c r="M582" s="413"/>
      <c r="N582" s="485"/>
    </row>
    <row r="583" spans="13:14" x14ac:dyDescent="0.25">
      <c r="M583" s="413"/>
      <c r="N583" s="485"/>
    </row>
    <row r="584" spans="13:14" x14ac:dyDescent="0.25">
      <c r="M584" s="413"/>
      <c r="N584" s="485"/>
    </row>
    <row r="585" spans="13:14" x14ac:dyDescent="0.25">
      <c r="M585" s="413"/>
      <c r="N585" s="485"/>
    </row>
    <row r="586" spans="13:14" x14ac:dyDescent="0.25">
      <c r="M586" s="413"/>
      <c r="N586" s="485"/>
    </row>
    <row r="587" spans="13:14" x14ac:dyDescent="0.25">
      <c r="M587" s="413"/>
      <c r="N587" s="485"/>
    </row>
    <row r="588" spans="13:14" x14ac:dyDescent="0.25">
      <c r="M588" s="413"/>
      <c r="N588" s="485"/>
    </row>
    <row r="589" spans="13:14" x14ac:dyDescent="0.25">
      <c r="M589" s="413"/>
      <c r="N589" s="485"/>
    </row>
    <row r="590" spans="13:14" x14ac:dyDescent="0.25">
      <c r="M590" s="413"/>
      <c r="N590" s="485"/>
    </row>
    <row r="591" spans="13:14" x14ac:dyDescent="0.25">
      <c r="M591" s="413"/>
      <c r="N591" s="485"/>
    </row>
    <row r="592" spans="13:14" x14ac:dyDescent="0.25">
      <c r="M592" s="413"/>
      <c r="N592" s="485"/>
    </row>
    <row r="593" spans="13:14" x14ac:dyDescent="0.25">
      <c r="M593" s="413"/>
      <c r="N593" s="485"/>
    </row>
    <row r="594" spans="13:14" x14ac:dyDescent="0.25">
      <c r="M594" s="413"/>
      <c r="N594" s="485"/>
    </row>
    <row r="595" spans="13:14" x14ac:dyDescent="0.25">
      <c r="M595" s="413"/>
      <c r="N595" s="485"/>
    </row>
    <row r="596" spans="13:14" x14ac:dyDescent="0.25">
      <c r="M596" s="413"/>
      <c r="N596" s="485"/>
    </row>
    <row r="597" spans="13:14" x14ac:dyDescent="0.25">
      <c r="M597" s="413"/>
      <c r="N597" s="485"/>
    </row>
    <row r="598" spans="13:14" x14ac:dyDescent="0.25">
      <c r="M598" s="413"/>
      <c r="N598" s="485"/>
    </row>
    <row r="599" spans="13:14" x14ac:dyDescent="0.25">
      <c r="M599" s="413"/>
      <c r="N599" s="485"/>
    </row>
    <row r="600" spans="13:14" x14ac:dyDescent="0.25">
      <c r="M600" s="413"/>
      <c r="N600" s="485"/>
    </row>
    <row r="601" spans="13:14" x14ac:dyDescent="0.25">
      <c r="M601" s="413"/>
      <c r="N601" s="485"/>
    </row>
    <row r="602" spans="13:14" x14ac:dyDescent="0.25">
      <c r="M602" s="413"/>
      <c r="N602" s="485"/>
    </row>
    <row r="603" spans="13:14" x14ac:dyDescent="0.25">
      <c r="M603" s="413"/>
      <c r="N603" s="485"/>
    </row>
    <row r="604" spans="13:14" x14ac:dyDescent="0.25">
      <c r="M604" s="413"/>
      <c r="N604" s="485"/>
    </row>
    <row r="605" spans="13:14" x14ac:dyDescent="0.25">
      <c r="M605" s="413"/>
      <c r="N605" s="485"/>
    </row>
    <row r="606" spans="13:14" x14ac:dyDescent="0.25">
      <c r="M606" s="413"/>
      <c r="N606" s="485"/>
    </row>
    <row r="607" spans="13:14" x14ac:dyDescent="0.25">
      <c r="M607" s="413"/>
      <c r="N607" s="485"/>
    </row>
    <row r="608" spans="13:14" x14ac:dyDescent="0.25">
      <c r="M608" s="413"/>
      <c r="N608" s="485"/>
    </row>
    <row r="609" spans="13:14" x14ac:dyDescent="0.25">
      <c r="M609" s="413"/>
      <c r="N609" s="485"/>
    </row>
    <row r="610" spans="13:14" x14ac:dyDescent="0.25">
      <c r="M610" s="413"/>
      <c r="N610" s="485"/>
    </row>
    <row r="611" spans="13:14" x14ac:dyDescent="0.25">
      <c r="M611" s="413"/>
      <c r="N611" s="485"/>
    </row>
    <row r="612" spans="13:14" x14ac:dyDescent="0.25">
      <c r="M612" s="413"/>
      <c r="N612" s="485"/>
    </row>
    <row r="613" spans="13:14" x14ac:dyDescent="0.25">
      <c r="M613" s="413"/>
      <c r="N613" s="485"/>
    </row>
    <row r="614" spans="13:14" x14ac:dyDescent="0.25">
      <c r="M614" s="413"/>
      <c r="N614" s="485"/>
    </row>
    <row r="615" spans="13:14" x14ac:dyDescent="0.25">
      <c r="M615" s="413"/>
      <c r="N615" s="485"/>
    </row>
    <row r="616" spans="13:14" x14ac:dyDescent="0.25">
      <c r="M616" s="413"/>
      <c r="N616" s="485"/>
    </row>
    <row r="617" spans="13:14" x14ac:dyDescent="0.25">
      <c r="M617" s="413"/>
      <c r="N617" s="485"/>
    </row>
    <row r="618" spans="13:14" x14ac:dyDescent="0.25">
      <c r="M618" s="413"/>
      <c r="N618" s="485"/>
    </row>
    <row r="619" spans="13:14" x14ac:dyDescent="0.25">
      <c r="M619" s="413"/>
      <c r="N619" s="485"/>
    </row>
    <row r="620" spans="13:14" x14ac:dyDescent="0.25">
      <c r="M620" s="413"/>
      <c r="N620" s="485"/>
    </row>
    <row r="621" spans="13:14" x14ac:dyDescent="0.25">
      <c r="M621" s="413"/>
      <c r="N621" s="485"/>
    </row>
    <row r="622" spans="13:14" x14ac:dyDescent="0.25">
      <c r="M622" s="413"/>
      <c r="N622" s="485"/>
    </row>
    <row r="623" spans="13:14" x14ac:dyDescent="0.25">
      <c r="M623" s="413"/>
      <c r="N623" s="485"/>
    </row>
    <row r="624" spans="13:14" x14ac:dyDescent="0.25">
      <c r="M624" s="413"/>
      <c r="N624" s="485"/>
    </row>
    <row r="625" spans="13:14" x14ac:dyDescent="0.25">
      <c r="M625" s="413"/>
      <c r="N625" s="485"/>
    </row>
    <row r="626" spans="13:14" x14ac:dyDescent="0.25">
      <c r="M626" s="413"/>
      <c r="N626" s="485"/>
    </row>
    <row r="627" spans="13:14" x14ac:dyDescent="0.25">
      <c r="M627" s="413"/>
      <c r="N627" s="485"/>
    </row>
    <row r="628" spans="13:14" x14ac:dyDescent="0.25">
      <c r="M628" s="413"/>
      <c r="N628" s="485"/>
    </row>
    <row r="629" spans="13:14" x14ac:dyDescent="0.25">
      <c r="M629" s="413"/>
      <c r="N629" s="485"/>
    </row>
    <row r="630" spans="13:14" x14ac:dyDescent="0.25">
      <c r="M630" s="413"/>
      <c r="N630" s="485"/>
    </row>
    <row r="631" spans="13:14" x14ac:dyDescent="0.25">
      <c r="M631" s="413"/>
      <c r="N631" s="485"/>
    </row>
    <row r="632" spans="13:14" x14ac:dyDescent="0.25">
      <c r="M632" s="413"/>
      <c r="N632" s="485"/>
    </row>
    <row r="633" spans="13:14" x14ac:dyDescent="0.25">
      <c r="M633" s="413"/>
      <c r="N633" s="485"/>
    </row>
    <row r="634" spans="13:14" x14ac:dyDescent="0.25">
      <c r="M634" s="413"/>
      <c r="N634" s="485"/>
    </row>
    <row r="635" spans="13:14" x14ac:dyDescent="0.25">
      <c r="M635" s="413"/>
      <c r="N635" s="485"/>
    </row>
    <row r="636" spans="13:14" x14ac:dyDescent="0.25">
      <c r="M636" s="413"/>
      <c r="N636" s="485"/>
    </row>
    <row r="637" spans="13:14" x14ac:dyDescent="0.25">
      <c r="M637" s="413"/>
      <c r="N637" s="485"/>
    </row>
    <row r="638" spans="13:14" x14ac:dyDescent="0.25">
      <c r="M638" s="413"/>
      <c r="N638" s="485"/>
    </row>
    <row r="639" spans="13:14" x14ac:dyDescent="0.25">
      <c r="M639" s="413"/>
      <c r="N639" s="485"/>
    </row>
    <row r="640" spans="13:14" x14ac:dyDescent="0.25">
      <c r="M640" s="413"/>
      <c r="N640" s="485"/>
    </row>
    <row r="641" spans="13:14" x14ac:dyDescent="0.25">
      <c r="M641" s="413"/>
      <c r="N641" s="485"/>
    </row>
    <row r="642" spans="13:14" x14ac:dyDescent="0.25">
      <c r="M642" s="413"/>
      <c r="N642" s="485"/>
    </row>
    <row r="643" spans="13:14" x14ac:dyDescent="0.25">
      <c r="M643" s="413"/>
      <c r="N643" s="485"/>
    </row>
    <row r="644" spans="13:14" x14ac:dyDescent="0.25">
      <c r="M644" s="413"/>
      <c r="N644" s="485"/>
    </row>
    <row r="645" spans="13:14" x14ac:dyDescent="0.25">
      <c r="M645" s="413"/>
      <c r="N645" s="485"/>
    </row>
    <row r="646" spans="13:14" x14ac:dyDescent="0.25">
      <c r="M646" s="413"/>
      <c r="N646" s="48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8"/>
  <dimension ref="A1:B3960"/>
  <sheetViews>
    <sheetView zoomScale="145" zoomScaleNormal="145" workbookViewId="0">
      <selection activeCell="B2403" sqref="B2403"/>
    </sheetView>
  </sheetViews>
  <sheetFormatPr defaultRowHeight="15" x14ac:dyDescent="0.25"/>
  <cols>
    <col min="1" max="1" width="33.85546875" bestFit="1" customWidth="1"/>
    <col min="2" max="2" width="18.7109375" style="478" bestFit="1" customWidth="1"/>
  </cols>
  <sheetData>
    <row r="1" spans="1:2" x14ac:dyDescent="0.25">
      <c r="A1" s="479" t="s">
        <v>18</v>
      </c>
      <c r="B1" s="480" t="s">
        <v>698</v>
      </c>
    </row>
    <row r="2" spans="1:2" hidden="1" x14ac:dyDescent="0.25">
      <c r="A2" s="475" t="s">
        <v>1395</v>
      </c>
      <c r="B2" s="477">
        <v>0.4770833333333333</v>
      </c>
    </row>
    <row r="3" spans="1:2" hidden="1" x14ac:dyDescent="0.25">
      <c r="A3" s="475" t="s">
        <v>1396</v>
      </c>
      <c r="B3" s="477">
        <v>0.4770833333333333</v>
      </c>
    </row>
    <row r="4" spans="1:2" hidden="1" x14ac:dyDescent="0.25">
      <c r="A4" s="475" t="s">
        <v>1397</v>
      </c>
      <c r="B4" s="477">
        <v>0.4770833333333333</v>
      </c>
    </row>
    <row r="5" spans="1:2" hidden="1" x14ac:dyDescent="0.25">
      <c r="A5" s="475" t="s">
        <v>1398</v>
      </c>
      <c r="B5" s="477">
        <v>0.4770833333333333</v>
      </c>
    </row>
    <row r="6" spans="1:2" hidden="1" x14ac:dyDescent="0.25">
      <c r="A6" s="475" t="s">
        <v>1399</v>
      </c>
      <c r="B6" s="477">
        <v>0.4770833333333333</v>
      </c>
    </row>
    <row r="7" spans="1:2" hidden="1" x14ac:dyDescent="0.25">
      <c r="A7" s="475" t="s">
        <v>1400</v>
      </c>
      <c r="B7" s="477">
        <v>0.4770833333333333</v>
      </c>
    </row>
    <row r="8" spans="1:2" hidden="1" x14ac:dyDescent="0.25">
      <c r="A8" s="475" t="s">
        <v>1401</v>
      </c>
      <c r="B8" s="477">
        <v>0.4770833333333333</v>
      </c>
    </row>
    <row r="9" spans="1:2" hidden="1" x14ac:dyDescent="0.25">
      <c r="A9" s="475" t="s">
        <v>1402</v>
      </c>
      <c r="B9" s="477">
        <v>0.47638888888888892</v>
      </c>
    </row>
    <row r="10" spans="1:2" hidden="1" x14ac:dyDescent="0.25">
      <c r="A10" s="475" t="s">
        <v>1403</v>
      </c>
      <c r="B10" s="477">
        <v>0.4770833333333333</v>
      </c>
    </row>
    <row r="11" spans="1:2" hidden="1" x14ac:dyDescent="0.25">
      <c r="A11" s="475" t="s">
        <v>1404</v>
      </c>
      <c r="B11" s="477">
        <v>0.4777777777777778</v>
      </c>
    </row>
    <row r="12" spans="1:2" hidden="1" x14ac:dyDescent="0.25">
      <c r="A12" s="475" t="s">
        <v>1405</v>
      </c>
      <c r="B12" s="477">
        <v>0.4770833333333333</v>
      </c>
    </row>
    <row r="13" spans="1:2" hidden="1" x14ac:dyDescent="0.25">
      <c r="A13" s="475" t="s">
        <v>1406</v>
      </c>
      <c r="B13" s="477">
        <v>0.47638888888888892</v>
      </c>
    </row>
    <row r="14" spans="1:2" hidden="1" x14ac:dyDescent="0.25">
      <c r="A14" s="475" t="s">
        <v>1407</v>
      </c>
      <c r="B14" s="477">
        <v>0.47638888888888892</v>
      </c>
    </row>
    <row r="15" spans="1:2" hidden="1" x14ac:dyDescent="0.25">
      <c r="A15" s="475" t="s">
        <v>1408</v>
      </c>
      <c r="B15" s="477">
        <v>0.47638888888888892</v>
      </c>
    </row>
    <row r="16" spans="1:2" hidden="1" x14ac:dyDescent="0.25">
      <c r="A16" s="475" t="s">
        <v>1409</v>
      </c>
      <c r="B16" s="477">
        <v>0.47638888888888892</v>
      </c>
    </row>
    <row r="17" spans="1:2" hidden="1" x14ac:dyDescent="0.25">
      <c r="A17" s="475" t="s">
        <v>1410</v>
      </c>
      <c r="B17" s="477">
        <v>0.47638888888888892</v>
      </c>
    </row>
    <row r="18" spans="1:2" hidden="1" x14ac:dyDescent="0.25">
      <c r="A18" s="475" t="s">
        <v>1411</v>
      </c>
      <c r="B18" s="477">
        <v>0.47638888888888892</v>
      </c>
    </row>
    <row r="19" spans="1:2" hidden="1" x14ac:dyDescent="0.25">
      <c r="A19" s="475" t="s">
        <v>1412</v>
      </c>
      <c r="B19" s="477">
        <v>0.4770833333333333</v>
      </c>
    </row>
    <row r="20" spans="1:2" hidden="1" x14ac:dyDescent="0.25">
      <c r="A20" s="475" t="s">
        <v>1413</v>
      </c>
      <c r="B20" s="477">
        <v>0.4770833333333333</v>
      </c>
    </row>
    <row r="21" spans="1:2" hidden="1" x14ac:dyDescent="0.25">
      <c r="A21" s="475" t="s">
        <v>1414</v>
      </c>
      <c r="B21" s="477">
        <v>0.47638888888888892</v>
      </c>
    </row>
    <row r="22" spans="1:2" hidden="1" x14ac:dyDescent="0.25">
      <c r="A22" s="475" t="s">
        <v>1415</v>
      </c>
      <c r="B22" s="477">
        <v>0.47638888888888892</v>
      </c>
    </row>
    <row r="23" spans="1:2" hidden="1" x14ac:dyDescent="0.25">
      <c r="A23" s="475" t="s">
        <v>1416</v>
      </c>
      <c r="B23" s="477">
        <v>0.4770833333333333</v>
      </c>
    </row>
    <row r="24" spans="1:2" hidden="1" x14ac:dyDescent="0.25">
      <c r="A24" s="475" t="s">
        <v>1417</v>
      </c>
      <c r="B24" s="477">
        <v>0.4770833333333333</v>
      </c>
    </row>
    <row r="25" spans="1:2" hidden="1" x14ac:dyDescent="0.25">
      <c r="A25" s="475" t="s">
        <v>1418</v>
      </c>
      <c r="B25" s="477">
        <v>0.47638888888888892</v>
      </c>
    </row>
    <row r="26" spans="1:2" hidden="1" x14ac:dyDescent="0.25">
      <c r="A26" s="475" t="s">
        <v>1419</v>
      </c>
      <c r="B26" s="477">
        <v>0.4770833333333333</v>
      </c>
    </row>
    <row r="27" spans="1:2" hidden="1" x14ac:dyDescent="0.25">
      <c r="A27" s="475" t="s">
        <v>1420</v>
      </c>
      <c r="B27" s="477">
        <v>0.4770833333333333</v>
      </c>
    </row>
    <row r="28" spans="1:2" hidden="1" x14ac:dyDescent="0.25">
      <c r="A28" s="475" t="s">
        <v>1421</v>
      </c>
      <c r="B28" s="477">
        <v>0.4770833333333333</v>
      </c>
    </row>
    <row r="29" spans="1:2" hidden="1" x14ac:dyDescent="0.25">
      <c r="A29" s="475" t="s">
        <v>1422</v>
      </c>
      <c r="B29" s="477">
        <v>0.4770833333333333</v>
      </c>
    </row>
    <row r="30" spans="1:2" hidden="1" x14ac:dyDescent="0.25">
      <c r="A30" s="475" t="s">
        <v>1423</v>
      </c>
      <c r="B30" s="477">
        <v>0.47638888888888892</v>
      </c>
    </row>
    <row r="31" spans="1:2" hidden="1" x14ac:dyDescent="0.25">
      <c r="A31" s="475" t="s">
        <v>1424</v>
      </c>
      <c r="B31" s="477">
        <v>0.47638888888888892</v>
      </c>
    </row>
    <row r="32" spans="1:2" hidden="1" x14ac:dyDescent="0.25">
      <c r="A32" s="475" t="s">
        <v>1425</v>
      </c>
      <c r="B32" s="477">
        <v>0.4770833333333333</v>
      </c>
    </row>
    <row r="33" spans="1:2" hidden="1" x14ac:dyDescent="0.25">
      <c r="A33" s="475" t="s">
        <v>1426</v>
      </c>
      <c r="B33" s="477">
        <v>0.47638888888888892</v>
      </c>
    </row>
    <row r="34" spans="1:2" hidden="1" x14ac:dyDescent="0.25">
      <c r="A34" s="475" t="s">
        <v>1427</v>
      </c>
      <c r="B34" s="477">
        <v>0.4770833333333333</v>
      </c>
    </row>
    <row r="35" spans="1:2" hidden="1" x14ac:dyDescent="0.25">
      <c r="A35" s="475" t="s">
        <v>1428</v>
      </c>
      <c r="B35" s="477">
        <v>0.47638888888888892</v>
      </c>
    </row>
    <row r="36" spans="1:2" hidden="1" x14ac:dyDescent="0.25">
      <c r="A36" s="475" t="s">
        <v>1429</v>
      </c>
      <c r="B36" s="477">
        <v>0.4770833333333333</v>
      </c>
    </row>
    <row r="37" spans="1:2" hidden="1" x14ac:dyDescent="0.25">
      <c r="A37" s="475" t="s">
        <v>1430</v>
      </c>
      <c r="B37" s="477">
        <v>0.47638888888888892</v>
      </c>
    </row>
    <row r="38" spans="1:2" hidden="1" x14ac:dyDescent="0.25">
      <c r="A38" s="475" t="s">
        <v>1431</v>
      </c>
      <c r="B38" s="477">
        <v>0.4770833333333333</v>
      </c>
    </row>
    <row r="39" spans="1:2" hidden="1" x14ac:dyDescent="0.25">
      <c r="A39" s="475" t="s">
        <v>1432</v>
      </c>
      <c r="B39" s="477">
        <v>0.4770833333333333</v>
      </c>
    </row>
    <row r="40" spans="1:2" hidden="1" x14ac:dyDescent="0.25">
      <c r="A40" s="475" t="s">
        <v>1433</v>
      </c>
      <c r="B40" s="477">
        <v>0.47638888888888892</v>
      </c>
    </row>
    <row r="41" spans="1:2" hidden="1" x14ac:dyDescent="0.25">
      <c r="A41" s="475" t="s">
        <v>1434</v>
      </c>
      <c r="B41" s="477">
        <v>0.4770833333333333</v>
      </c>
    </row>
    <row r="42" spans="1:2" hidden="1" x14ac:dyDescent="0.25">
      <c r="A42" s="475" t="s">
        <v>1435</v>
      </c>
      <c r="B42" s="477">
        <v>0.4770833333333333</v>
      </c>
    </row>
    <row r="43" spans="1:2" hidden="1" x14ac:dyDescent="0.25">
      <c r="A43" s="475" t="s">
        <v>1436</v>
      </c>
      <c r="B43" s="477">
        <v>0.4770833333333333</v>
      </c>
    </row>
    <row r="44" spans="1:2" hidden="1" x14ac:dyDescent="0.25">
      <c r="A44" s="475" t="s">
        <v>1437</v>
      </c>
      <c r="B44" s="477">
        <v>0.4770833333333333</v>
      </c>
    </row>
    <row r="45" spans="1:2" hidden="1" x14ac:dyDescent="0.25">
      <c r="A45" s="475" t="s">
        <v>1438</v>
      </c>
      <c r="B45" s="477">
        <v>0.4770833333333333</v>
      </c>
    </row>
    <row r="46" spans="1:2" hidden="1" x14ac:dyDescent="0.25">
      <c r="A46" s="475" t="s">
        <v>1439</v>
      </c>
      <c r="B46" s="477">
        <v>0.47638888888888892</v>
      </c>
    </row>
    <row r="47" spans="1:2" hidden="1" x14ac:dyDescent="0.25">
      <c r="A47" s="475" t="s">
        <v>1440</v>
      </c>
      <c r="B47" s="477">
        <v>0.4770833333333333</v>
      </c>
    </row>
    <row r="48" spans="1:2" hidden="1" x14ac:dyDescent="0.25">
      <c r="A48" s="475" t="s">
        <v>1441</v>
      </c>
      <c r="B48" s="477">
        <v>0.47638888888888892</v>
      </c>
    </row>
    <row r="49" spans="1:2" hidden="1" x14ac:dyDescent="0.25">
      <c r="A49" s="475" t="s">
        <v>1442</v>
      </c>
      <c r="B49" s="477">
        <v>0.47638888888888892</v>
      </c>
    </row>
    <row r="50" spans="1:2" hidden="1" x14ac:dyDescent="0.25">
      <c r="A50" s="475" t="s">
        <v>1443</v>
      </c>
      <c r="B50" s="477">
        <v>0.4770833333333333</v>
      </c>
    </row>
    <row r="51" spans="1:2" hidden="1" x14ac:dyDescent="0.25">
      <c r="A51" s="475" t="s">
        <v>1444</v>
      </c>
      <c r="B51" s="477">
        <v>0.4770833333333333</v>
      </c>
    </row>
    <row r="52" spans="1:2" hidden="1" x14ac:dyDescent="0.25">
      <c r="A52" s="475" t="s">
        <v>1445</v>
      </c>
      <c r="B52" s="477">
        <v>0.47638888888888892</v>
      </c>
    </row>
    <row r="53" spans="1:2" hidden="1" x14ac:dyDescent="0.25">
      <c r="A53" s="475" t="s">
        <v>1446</v>
      </c>
      <c r="B53" s="477">
        <v>0.4770833333333333</v>
      </c>
    </row>
    <row r="54" spans="1:2" hidden="1" x14ac:dyDescent="0.25">
      <c r="A54" s="475" t="s">
        <v>1447</v>
      </c>
      <c r="B54" s="477">
        <v>0.4770833333333333</v>
      </c>
    </row>
    <row r="55" spans="1:2" hidden="1" x14ac:dyDescent="0.25">
      <c r="A55" s="475" t="s">
        <v>1448</v>
      </c>
      <c r="B55" s="477">
        <v>0.47638888888888892</v>
      </c>
    </row>
    <row r="56" spans="1:2" hidden="1" x14ac:dyDescent="0.25">
      <c r="A56" s="475" t="s">
        <v>1449</v>
      </c>
      <c r="B56" s="477">
        <v>0.4770833333333333</v>
      </c>
    </row>
    <row r="57" spans="1:2" hidden="1" x14ac:dyDescent="0.25">
      <c r="A57" s="475" t="s">
        <v>1450</v>
      </c>
      <c r="B57" s="477">
        <v>0.4770833333333333</v>
      </c>
    </row>
    <row r="58" spans="1:2" hidden="1" x14ac:dyDescent="0.25">
      <c r="A58" s="475" t="s">
        <v>1451</v>
      </c>
      <c r="B58" s="477">
        <v>0.4777777777777778</v>
      </c>
    </row>
    <row r="59" spans="1:2" hidden="1" x14ac:dyDescent="0.25">
      <c r="A59" s="475" t="s">
        <v>1452</v>
      </c>
      <c r="B59" s="477">
        <v>0.47638888888888892</v>
      </c>
    </row>
    <row r="60" spans="1:2" hidden="1" x14ac:dyDescent="0.25">
      <c r="A60" s="475" t="s">
        <v>1453</v>
      </c>
      <c r="B60" s="477">
        <v>0.4770833333333333</v>
      </c>
    </row>
    <row r="61" spans="1:2" hidden="1" x14ac:dyDescent="0.25">
      <c r="A61" s="475" t="s">
        <v>1454</v>
      </c>
      <c r="B61" s="477">
        <v>0.47638888888888892</v>
      </c>
    </row>
    <row r="62" spans="1:2" hidden="1" x14ac:dyDescent="0.25">
      <c r="A62" s="475" t="s">
        <v>1455</v>
      </c>
      <c r="B62" s="477">
        <v>0.47638888888888892</v>
      </c>
    </row>
    <row r="63" spans="1:2" hidden="1" x14ac:dyDescent="0.25">
      <c r="A63" s="475" t="s">
        <v>1456</v>
      </c>
      <c r="B63" s="477">
        <v>0.4770833333333333</v>
      </c>
    </row>
    <row r="64" spans="1:2" hidden="1" x14ac:dyDescent="0.25">
      <c r="A64" s="475" t="s">
        <v>1457</v>
      </c>
      <c r="B64" s="477">
        <v>0.47638888888888892</v>
      </c>
    </row>
    <row r="65" spans="1:2" hidden="1" x14ac:dyDescent="0.25">
      <c r="A65" s="475" t="s">
        <v>1458</v>
      </c>
      <c r="B65" s="477">
        <v>0.4770833333333333</v>
      </c>
    </row>
    <row r="66" spans="1:2" hidden="1" x14ac:dyDescent="0.25">
      <c r="A66" s="475" t="s">
        <v>1459</v>
      </c>
      <c r="B66" s="477">
        <v>0.47638888888888892</v>
      </c>
    </row>
    <row r="67" spans="1:2" hidden="1" x14ac:dyDescent="0.25">
      <c r="A67" s="475" t="s">
        <v>1460</v>
      </c>
      <c r="B67" s="477">
        <v>0.4770833333333333</v>
      </c>
    </row>
    <row r="68" spans="1:2" hidden="1" x14ac:dyDescent="0.25">
      <c r="A68" s="475" t="s">
        <v>1461</v>
      </c>
      <c r="B68" s="477">
        <v>0.4770833333333333</v>
      </c>
    </row>
    <row r="69" spans="1:2" hidden="1" x14ac:dyDescent="0.25">
      <c r="A69" s="475" t="s">
        <v>1462</v>
      </c>
      <c r="B69" s="477">
        <v>0.4770833333333333</v>
      </c>
    </row>
    <row r="70" spans="1:2" hidden="1" x14ac:dyDescent="0.25">
      <c r="A70" s="475" t="s">
        <v>1463</v>
      </c>
      <c r="B70" s="477">
        <v>0.4770833333333333</v>
      </c>
    </row>
    <row r="71" spans="1:2" hidden="1" x14ac:dyDescent="0.25">
      <c r="A71" s="475" t="s">
        <v>1464</v>
      </c>
      <c r="B71" s="477">
        <v>0.4777777777777778</v>
      </c>
    </row>
    <row r="72" spans="1:2" hidden="1" x14ac:dyDescent="0.25">
      <c r="A72" s="475" t="s">
        <v>1465</v>
      </c>
      <c r="B72" s="477">
        <v>0.4770833333333333</v>
      </c>
    </row>
    <row r="73" spans="1:2" hidden="1" x14ac:dyDescent="0.25">
      <c r="A73" s="475" t="s">
        <v>1466</v>
      </c>
      <c r="B73" s="477">
        <v>0.4770833333333333</v>
      </c>
    </row>
    <row r="74" spans="1:2" hidden="1" x14ac:dyDescent="0.25">
      <c r="A74" s="475" t="s">
        <v>1467</v>
      </c>
      <c r="B74" s="477">
        <v>0.47638888888888892</v>
      </c>
    </row>
    <row r="75" spans="1:2" hidden="1" x14ac:dyDescent="0.25">
      <c r="A75" s="475" t="s">
        <v>1468</v>
      </c>
      <c r="B75" s="477">
        <v>0.47638888888888892</v>
      </c>
    </row>
    <row r="76" spans="1:2" hidden="1" x14ac:dyDescent="0.25">
      <c r="A76" s="475" t="s">
        <v>1469</v>
      </c>
      <c r="B76" s="477">
        <v>0.4770833333333333</v>
      </c>
    </row>
    <row r="77" spans="1:2" hidden="1" x14ac:dyDescent="0.25">
      <c r="A77" s="475" t="s">
        <v>1470</v>
      </c>
      <c r="B77" s="477">
        <v>0.47638888888888892</v>
      </c>
    </row>
    <row r="78" spans="1:2" hidden="1" x14ac:dyDescent="0.25">
      <c r="A78" s="475" t="s">
        <v>1471</v>
      </c>
      <c r="B78" s="477">
        <v>0.47638888888888892</v>
      </c>
    </row>
    <row r="79" spans="1:2" hidden="1" x14ac:dyDescent="0.25">
      <c r="A79" s="475" t="s">
        <v>1472</v>
      </c>
      <c r="B79" s="477">
        <v>0.4770833333333333</v>
      </c>
    </row>
    <row r="80" spans="1:2" hidden="1" x14ac:dyDescent="0.25">
      <c r="A80" s="475" t="s">
        <v>1473</v>
      </c>
      <c r="B80" s="477">
        <v>0.4770833333333333</v>
      </c>
    </row>
    <row r="81" spans="1:2" hidden="1" x14ac:dyDescent="0.25">
      <c r="A81" s="475" t="s">
        <v>1474</v>
      </c>
      <c r="B81" s="477">
        <v>0.47638888888888892</v>
      </c>
    </row>
    <row r="82" spans="1:2" hidden="1" x14ac:dyDescent="0.25">
      <c r="A82" s="475" t="s">
        <v>1475</v>
      </c>
      <c r="B82" s="477">
        <v>0.47638888888888892</v>
      </c>
    </row>
    <row r="83" spans="1:2" hidden="1" x14ac:dyDescent="0.25">
      <c r="A83" s="475" t="s">
        <v>1476</v>
      </c>
      <c r="B83" s="477">
        <v>0.4770833333333333</v>
      </c>
    </row>
    <row r="84" spans="1:2" hidden="1" x14ac:dyDescent="0.25">
      <c r="A84" s="475" t="s">
        <v>1477</v>
      </c>
      <c r="B84" s="477">
        <v>0.4770833333333333</v>
      </c>
    </row>
    <row r="85" spans="1:2" hidden="1" x14ac:dyDescent="0.25">
      <c r="A85" s="475" t="s">
        <v>1478</v>
      </c>
      <c r="B85" s="477">
        <v>0.47638888888888892</v>
      </c>
    </row>
    <row r="86" spans="1:2" hidden="1" x14ac:dyDescent="0.25">
      <c r="A86" s="475" t="s">
        <v>1479</v>
      </c>
      <c r="B86" s="477">
        <v>0.47638888888888892</v>
      </c>
    </row>
    <row r="87" spans="1:2" hidden="1" x14ac:dyDescent="0.25">
      <c r="A87" s="475" t="s">
        <v>1480</v>
      </c>
      <c r="B87" s="477">
        <v>0.4770833333333333</v>
      </c>
    </row>
    <row r="88" spans="1:2" hidden="1" x14ac:dyDescent="0.25">
      <c r="A88" s="475" t="s">
        <v>1481</v>
      </c>
      <c r="B88" s="477">
        <v>0.4770833333333333</v>
      </c>
    </row>
    <row r="89" spans="1:2" hidden="1" x14ac:dyDescent="0.25">
      <c r="A89" s="475" t="s">
        <v>1482</v>
      </c>
      <c r="B89" s="477">
        <v>0.4777777777777778</v>
      </c>
    </row>
    <row r="90" spans="1:2" hidden="1" x14ac:dyDescent="0.25">
      <c r="A90" s="475" t="s">
        <v>1483</v>
      </c>
      <c r="B90" s="477">
        <v>0.47638888888888892</v>
      </c>
    </row>
    <row r="91" spans="1:2" hidden="1" x14ac:dyDescent="0.25">
      <c r="A91" s="475" t="s">
        <v>1484</v>
      </c>
      <c r="B91" s="477">
        <v>0.47638888888888892</v>
      </c>
    </row>
    <row r="92" spans="1:2" hidden="1" x14ac:dyDescent="0.25">
      <c r="A92" s="475" t="s">
        <v>1485</v>
      </c>
      <c r="B92" s="477">
        <v>0.4770833333333333</v>
      </c>
    </row>
    <row r="93" spans="1:2" hidden="1" x14ac:dyDescent="0.25">
      <c r="A93" s="475" t="s">
        <v>1486</v>
      </c>
      <c r="B93" s="477">
        <v>0.47638888888888892</v>
      </c>
    </row>
    <row r="94" spans="1:2" hidden="1" x14ac:dyDescent="0.25">
      <c r="A94" s="475" t="s">
        <v>1487</v>
      </c>
      <c r="B94" s="477">
        <v>0.4770833333333333</v>
      </c>
    </row>
    <row r="95" spans="1:2" hidden="1" x14ac:dyDescent="0.25">
      <c r="A95" s="475" t="s">
        <v>1488</v>
      </c>
      <c r="B95" s="477">
        <v>0.4770833333333333</v>
      </c>
    </row>
    <row r="96" spans="1:2" hidden="1" x14ac:dyDescent="0.25">
      <c r="A96" s="475" t="s">
        <v>1489</v>
      </c>
      <c r="B96" s="477">
        <v>0.47638888888888892</v>
      </c>
    </row>
    <row r="97" spans="1:2" hidden="1" x14ac:dyDescent="0.25">
      <c r="A97" s="475" t="s">
        <v>1490</v>
      </c>
      <c r="B97" s="477">
        <v>0.4770833333333333</v>
      </c>
    </row>
    <row r="98" spans="1:2" hidden="1" x14ac:dyDescent="0.25">
      <c r="A98" s="475" t="s">
        <v>1491</v>
      </c>
      <c r="B98" s="477">
        <v>0.4770833333333333</v>
      </c>
    </row>
    <row r="99" spans="1:2" hidden="1" x14ac:dyDescent="0.25">
      <c r="A99" s="475" t="s">
        <v>1492</v>
      </c>
      <c r="B99" s="477">
        <v>0.47638888888888892</v>
      </c>
    </row>
    <row r="100" spans="1:2" hidden="1" x14ac:dyDescent="0.25">
      <c r="A100" s="475" t="s">
        <v>1493</v>
      </c>
      <c r="B100" s="477">
        <v>0.4770833333333333</v>
      </c>
    </row>
    <row r="101" spans="1:2" hidden="1" x14ac:dyDescent="0.25">
      <c r="A101" s="475" t="s">
        <v>1494</v>
      </c>
      <c r="B101" s="477">
        <v>0.4770833333333333</v>
      </c>
    </row>
    <row r="102" spans="1:2" hidden="1" x14ac:dyDescent="0.25">
      <c r="A102" s="475" t="s">
        <v>1495</v>
      </c>
      <c r="B102" s="477">
        <v>0.4777777777777778</v>
      </c>
    </row>
    <row r="103" spans="1:2" hidden="1" x14ac:dyDescent="0.25">
      <c r="A103" s="475" t="s">
        <v>1496</v>
      </c>
      <c r="B103" s="477">
        <v>0.4770833333333333</v>
      </c>
    </row>
    <row r="104" spans="1:2" hidden="1" x14ac:dyDescent="0.25">
      <c r="A104" s="475" t="s">
        <v>1497</v>
      </c>
      <c r="B104" s="477">
        <v>0.4770833333333333</v>
      </c>
    </row>
    <row r="105" spans="1:2" hidden="1" x14ac:dyDescent="0.25">
      <c r="A105" s="475" t="s">
        <v>1498</v>
      </c>
      <c r="B105" s="477">
        <v>0.47638888888888892</v>
      </c>
    </row>
    <row r="106" spans="1:2" hidden="1" x14ac:dyDescent="0.25">
      <c r="A106" s="475" t="s">
        <v>1499</v>
      </c>
      <c r="B106" s="477">
        <v>0.4770833333333333</v>
      </c>
    </row>
    <row r="107" spans="1:2" hidden="1" x14ac:dyDescent="0.25">
      <c r="A107" s="475" t="s">
        <v>1500</v>
      </c>
      <c r="B107" s="477">
        <v>0.47638888888888892</v>
      </c>
    </row>
    <row r="108" spans="1:2" hidden="1" x14ac:dyDescent="0.25">
      <c r="A108" s="475" t="s">
        <v>1501</v>
      </c>
      <c r="B108" s="477">
        <v>0.4770833333333333</v>
      </c>
    </row>
    <row r="109" spans="1:2" hidden="1" x14ac:dyDescent="0.25">
      <c r="A109" s="475" t="s">
        <v>1502</v>
      </c>
      <c r="B109" s="477">
        <v>0.4770833333333333</v>
      </c>
    </row>
    <row r="110" spans="1:2" hidden="1" x14ac:dyDescent="0.25">
      <c r="A110" s="475" t="s">
        <v>1503</v>
      </c>
      <c r="B110" s="477">
        <v>0.4770833333333333</v>
      </c>
    </row>
    <row r="111" spans="1:2" hidden="1" x14ac:dyDescent="0.25">
      <c r="A111" s="475" t="s">
        <v>1504</v>
      </c>
      <c r="B111" s="477">
        <v>0.4770833333333333</v>
      </c>
    </row>
    <row r="112" spans="1:2" hidden="1" x14ac:dyDescent="0.25">
      <c r="A112" s="475" t="s">
        <v>1505</v>
      </c>
      <c r="B112" s="477">
        <v>0.4770833333333333</v>
      </c>
    </row>
    <row r="113" spans="1:2" hidden="1" x14ac:dyDescent="0.25">
      <c r="A113" s="475" t="s">
        <v>1506</v>
      </c>
      <c r="B113" s="477">
        <v>0.4770833333333333</v>
      </c>
    </row>
    <row r="114" spans="1:2" hidden="1" x14ac:dyDescent="0.25">
      <c r="A114" s="475" t="s">
        <v>1507</v>
      </c>
      <c r="B114" s="477">
        <v>0.47638888888888892</v>
      </c>
    </row>
    <row r="115" spans="1:2" hidden="1" x14ac:dyDescent="0.25">
      <c r="A115" s="475" t="s">
        <v>1508</v>
      </c>
      <c r="B115" s="477">
        <v>0.4770833333333333</v>
      </c>
    </row>
    <row r="116" spans="1:2" hidden="1" x14ac:dyDescent="0.25">
      <c r="A116" s="475" t="s">
        <v>1509</v>
      </c>
      <c r="B116" s="477">
        <v>0.47638888888888892</v>
      </c>
    </row>
    <row r="117" spans="1:2" hidden="1" x14ac:dyDescent="0.25">
      <c r="A117" s="475" t="s">
        <v>1510</v>
      </c>
      <c r="B117" s="477">
        <v>0.47638888888888892</v>
      </c>
    </row>
    <row r="118" spans="1:2" hidden="1" x14ac:dyDescent="0.25">
      <c r="A118" s="475" t="s">
        <v>1511</v>
      </c>
      <c r="B118" s="477">
        <v>0.47638888888888892</v>
      </c>
    </row>
    <row r="119" spans="1:2" hidden="1" x14ac:dyDescent="0.25">
      <c r="A119" s="475" t="s">
        <v>1512</v>
      </c>
      <c r="B119" s="477">
        <v>0.4770833333333333</v>
      </c>
    </row>
    <row r="120" spans="1:2" hidden="1" x14ac:dyDescent="0.25">
      <c r="A120" s="475" t="s">
        <v>1513</v>
      </c>
      <c r="B120" s="477">
        <v>0.47638888888888892</v>
      </c>
    </row>
    <row r="121" spans="1:2" hidden="1" x14ac:dyDescent="0.25">
      <c r="A121" s="475" t="s">
        <v>1514</v>
      </c>
      <c r="B121" s="477">
        <v>0.47638888888888892</v>
      </c>
    </row>
    <row r="122" spans="1:2" hidden="1" x14ac:dyDescent="0.25">
      <c r="A122" s="475" t="s">
        <v>1515</v>
      </c>
      <c r="B122" s="477">
        <v>0.4770833333333333</v>
      </c>
    </row>
    <row r="123" spans="1:2" hidden="1" x14ac:dyDescent="0.25">
      <c r="A123" s="475" t="s">
        <v>1516</v>
      </c>
      <c r="B123" s="477">
        <v>0.4770833333333333</v>
      </c>
    </row>
    <row r="124" spans="1:2" hidden="1" x14ac:dyDescent="0.25">
      <c r="A124" s="475" t="s">
        <v>1517</v>
      </c>
      <c r="B124" s="477">
        <v>0.47638888888888892</v>
      </c>
    </row>
    <row r="125" spans="1:2" hidden="1" x14ac:dyDescent="0.25">
      <c r="A125" s="475" t="s">
        <v>1518</v>
      </c>
      <c r="B125" s="477">
        <v>0.47638888888888892</v>
      </c>
    </row>
    <row r="126" spans="1:2" hidden="1" x14ac:dyDescent="0.25">
      <c r="A126" s="475" t="s">
        <v>1519</v>
      </c>
      <c r="B126" s="477">
        <v>0.4770833333333333</v>
      </c>
    </row>
    <row r="127" spans="1:2" hidden="1" x14ac:dyDescent="0.25">
      <c r="A127" s="475" t="s">
        <v>1520</v>
      </c>
      <c r="B127" s="477">
        <v>0.4770833333333333</v>
      </c>
    </row>
    <row r="128" spans="1:2" hidden="1" x14ac:dyDescent="0.25">
      <c r="A128" s="475" t="s">
        <v>1521</v>
      </c>
      <c r="B128" s="477">
        <v>0.47638888888888892</v>
      </c>
    </row>
    <row r="129" spans="1:2" hidden="1" x14ac:dyDescent="0.25">
      <c r="A129" s="475" t="s">
        <v>1522</v>
      </c>
      <c r="B129" s="477">
        <v>0.47638888888888892</v>
      </c>
    </row>
    <row r="130" spans="1:2" hidden="1" x14ac:dyDescent="0.25">
      <c r="A130" s="475" t="s">
        <v>1523</v>
      </c>
      <c r="B130" s="477">
        <v>0.4770833333333333</v>
      </c>
    </row>
    <row r="131" spans="1:2" hidden="1" x14ac:dyDescent="0.25">
      <c r="A131" s="475" t="s">
        <v>1524</v>
      </c>
      <c r="B131" s="477">
        <v>0.4770833333333333</v>
      </c>
    </row>
    <row r="132" spans="1:2" hidden="1" x14ac:dyDescent="0.25">
      <c r="A132" s="475" t="s">
        <v>1525</v>
      </c>
      <c r="B132" s="477">
        <v>0.4770833333333333</v>
      </c>
    </row>
    <row r="133" spans="1:2" hidden="1" x14ac:dyDescent="0.25">
      <c r="A133" s="475" t="s">
        <v>1526</v>
      </c>
      <c r="B133" s="477">
        <v>0.4770833333333333</v>
      </c>
    </row>
    <row r="134" spans="1:2" hidden="1" x14ac:dyDescent="0.25">
      <c r="A134" s="475" t="s">
        <v>1527</v>
      </c>
      <c r="B134" s="477">
        <v>0.4770833333333333</v>
      </c>
    </row>
    <row r="135" spans="1:2" hidden="1" x14ac:dyDescent="0.25">
      <c r="A135" s="475" t="s">
        <v>1528</v>
      </c>
      <c r="B135" s="477">
        <v>0.47638888888888892</v>
      </c>
    </row>
    <row r="136" spans="1:2" hidden="1" x14ac:dyDescent="0.25">
      <c r="A136" s="475" t="s">
        <v>1529</v>
      </c>
      <c r="B136" s="477">
        <v>0.4770833333333333</v>
      </c>
    </row>
    <row r="137" spans="1:2" hidden="1" x14ac:dyDescent="0.25">
      <c r="A137" s="475" t="s">
        <v>1530</v>
      </c>
      <c r="B137" s="477">
        <v>0.4770833333333333</v>
      </c>
    </row>
    <row r="138" spans="1:2" hidden="1" x14ac:dyDescent="0.25">
      <c r="A138" s="475" t="s">
        <v>1531</v>
      </c>
      <c r="B138" s="477">
        <v>0.4770833333333333</v>
      </c>
    </row>
    <row r="139" spans="1:2" hidden="1" x14ac:dyDescent="0.25">
      <c r="A139" s="475" t="s">
        <v>1532</v>
      </c>
      <c r="B139" s="477">
        <v>0.4770833333333333</v>
      </c>
    </row>
    <row r="140" spans="1:2" hidden="1" x14ac:dyDescent="0.25">
      <c r="A140" s="475" t="s">
        <v>1533</v>
      </c>
      <c r="B140" s="477">
        <v>0.4770833333333333</v>
      </c>
    </row>
    <row r="141" spans="1:2" hidden="1" x14ac:dyDescent="0.25">
      <c r="A141" s="475" t="s">
        <v>1534</v>
      </c>
      <c r="B141" s="477">
        <v>0.4770833333333333</v>
      </c>
    </row>
    <row r="142" spans="1:2" hidden="1" x14ac:dyDescent="0.25">
      <c r="A142" s="475" t="s">
        <v>1535</v>
      </c>
      <c r="B142" s="477">
        <v>0.4770833333333333</v>
      </c>
    </row>
    <row r="143" spans="1:2" hidden="1" x14ac:dyDescent="0.25">
      <c r="A143" s="475" t="s">
        <v>1536</v>
      </c>
      <c r="B143" s="477">
        <v>0.4770833333333333</v>
      </c>
    </row>
    <row r="144" spans="1:2" hidden="1" x14ac:dyDescent="0.25">
      <c r="A144" s="475" t="s">
        <v>1537</v>
      </c>
      <c r="B144" s="477">
        <v>0.4770833333333333</v>
      </c>
    </row>
    <row r="145" spans="1:2" hidden="1" x14ac:dyDescent="0.25">
      <c r="A145" s="475" t="s">
        <v>1538</v>
      </c>
      <c r="B145" s="477">
        <v>0.47638888888888892</v>
      </c>
    </row>
    <row r="146" spans="1:2" hidden="1" x14ac:dyDescent="0.25">
      <c r="A146" s="475" t="s">
        <v>1539</v>
      </c>
      <c r="B146" s="477">
        <v>0.47638888888888892</v>
      </c>
    </row>
    <row r="147" spans="1:2" hidden="1" x14ac:dyDescent="0.25">
      <c r="A147" s="475" t="s">
        <v>1540</v>
      </c>
      <c r="B147" s="477">
        <v>0.4770833333333333</v>
      </c>
    </row>
    <row r="148" spans="1:2" hidden="1" x14ac:dyDescent="0.25">
      <c r="A148" s="475" t="s">
        <v>1541</v>
      </c>
      <c r="B148" s="477">
        <v>0.4770833333333333</v>
      </c>
    </row>
    <row r="149" spans="1:2" hidden="1" x14ac:dyDescent="0.25">
      <c r="A149" s="475" t="s">
        <v>1542</v>
      </c>
      <c r="B149" s="477">
        <v>0.4770833333333333</v>
      </c>
    </row>
    <row r="150" spans="1:2" hidden="1" x14ac:dyDescent="0.25">
      <c r="A150" s="475" t="s">
        <v>1543</v>
      </c>
      <c r="B150" s="477">
        <v>0.47638888888888892</v>
      </c>
    </row>
    <row r="151" spans="1:2" hidden="1" x14ac:dyDescent="0.25">
      <c r="A151" s="475" t="s">
        <v>1544</v>
      </c>
      <c r="B151" s="477">
        <v>0.4770833333333333</v>
      </c>
    </row>
    <row r="152" spans="1:2" hidden="1" x14ac:dyDescent="0.25">
      <c r="A152" s="475" t="s">
        <v>1545</v>
      </c>
      <c r="B152" s="477">
        <v>0.4770833333333333</v>
      </c>
    </row>
    <row r="153" spans="1:2" hidden="1" x14ac:dyDescent="0.25">
      <c r="A153" s="475" t="s">
        <v>1546</v>
      </c>
      <c r="B153" s="477">
        <v>0.47638888888888892</v>
      </c>
    </row>
    <row r="154" spans="1:2" hidden="1" x14ac:dyDescent="0.25">
      <c r="A154" s="475" t="s">
        <v>1547</v>
      </c>
      <c r="B154" s="477">
        <v>0.4770833333333333</v>
      </c>
    </row>
    <row r="155" spans="1:2" hidden="1" x14ac:dyDescent="0.25">
      <c r="A155" s="475" t="s">
        <v>1548</v>
      </c>
      <c r="B155" s="477">
        <v>0.47638888888888892</v>
      </c>
    </row>
    <row r="156" spans="1:2" hidden="1" x14ac:dyDescent="0.25">
      <c r="A156" s="475" t="s">
        <v>1549</v>
      </c>
      <c r="B156" s="477">
        <v>0.4770833333333333</v>
      </c>
    </row>
    <row r="157" spans="1:2" hidden="1" x14ac:dyDescent="0.25">
      <c r="A157" s="475" t="s">
        <v>1550</v>
      </c>
      <c r="B157" s="477">
        <v>0.4770833333333333</v>
      </c>
    </row>
    <row r="158" spans="1:2" hidden="1" x14ac:dyDescent="0.25">
      <c r="A158" s="475" t="s">
        <v>1551</v>
      </c>
      <c r="B158" s="477">
        <v>0.47638888888888892</v>
      </c>
    </row>
    <row r="159" spans="1:2" hidden="1" x14ac:dyDescent="0.25">
      <c r="A159" s="475" t="s">
        <v>1552</v>
      </c>
      <c r="B159" s="477">
        <v>0.4770833333333333</v>
      </c>
    </row>
    <row r="160" spans="1:2" hidden="1" x14ac:dyDescent="0.25">
      <c r="A160" s="475" t="s">
        <v>1553</v>
      </c>
      <c r="B160" s="477">
        <v>0.4770833333333333</v>
      </c>
    </row>
    <row r="161" spans="1:2" hidden="1" x14ac:dyDescent="0.25">
      <c r="A161" s="475" t="s">
        <v>1554</v>
      </c>
      <c r="B161" s="477">
        <v>0.47638888888888892</v>
      </c>
    </row>
    <row r="162" spans="1:2" hidden="1" x14ac:dyDescent="0.25">
      <c r="A162" s="475" t="s">
        <v>1555</v>
      </c>
      <c r="B162" s="477">
        <v>0.47638888888888892</v>
      </c>
    </row>
    <row r="163" spans="1:2" hidden="1" x14ac:dyDescent="0.25">
      <c r="A163" s="475" t="s">
        <v>1556</v>
      </c>
      <c r="B163" s="477">
        <v>0.47638888888888892</v>
      </c>
    </row>
    <row r="164" spans="1:2" hidden="1" x14ac:dyDescent="0.25">
      <c r="A164" s="475" t="s">
        <v>1557</v>
      </c>
      <c r="B164" s="477">
        <v>0.4770833333333333</v>
      </c>
    </row>
    <row r="165" spans="1:2" hidden="1" x14ac:dyDescent="0.25">
      <c r="A165" s="475" t="s">
        <v>1558</v>
      </c>
      <c r="B165" s="477">
        <v>0.4770833333333333</v>
      </c>
    </row>
    <row r="166" spans="1:2" hidden="1" x14ac:dyDescent="0.25">
      <c r="A166" s="475" t="s">
        <v>1559</v>
      </c>
      <c r="B166" s="477">
        <v>0.4770833333333333</v>
      </c>
    </row>
    <row r="167" spans="1:2" hidden="1" x14ac:dyDescent="0.25">
      <c r="A167" s="475" t="s">
        <v>1560</v>
      </c>
      <c r="B167" s="477">
        <v>0.47638888888888892</v>
      </c>
    </row>
    <row r="168" spans="1:2" hidden="1" x14ac:dyDescent="0.25">
      <c r="A168" s="475" t="s">
        <v>1561</v>
      </c>
      <c r="B168" s="477">
        <v>0.4770833333333333</v>
      </c>
    </row>
    <row r="169" spans="1:2" hidden="1" x14ac:dyDescent="0.25">
      <c r="A169" s="475" t="s">
        <v>1562</v>
      </c>
      <c r="B169" s="477">
        <v>0.4770833333333333</v>
      </c>
    </row>
    <row r="170" spans="1:2" hidden="1" x14ac:dyDescent="0.25">
      <c r="A170" s="475" t="s">
        <v>1563</v>
      </c>
      <c r="B170" s="477">
        <v>0.4770833333333333</v>
      </c>
    </row>
    <row r="171" spans="1:2" hidden="1" x14ac:dyDescent="0.25">
      <c r="A171" s="475" t="s">
        <v>1564</v>
      </c>
      <c r="B171" s="477">
        <v>0.4777777777777778</v>
      </c>
    </row>
    <row r="172" spans="1:2" hidden="1" x14ac:dyDescent="0.25">
      <c r="A172" s="475" t="s">
        <v>1565</v>
      </c>
      <c r="B172" s="477">
        <v>0.47638888888888892</v>
      </c>
    </row>
    <row r="173" spans="1:2" hidden="1" x14ac:dyDescent="0.25">
      <c r="A173" s="475" t="s">
        <v>1566</v>
      </c>
      <c r="B173" s="477">
        <v>0.4770833333333333</v>
      </c>
    </row>
    <row r="174" spans="1:2" hidden="1" x14ac:dyDescent="0.25">
      <c r="A174" s="475" t="s">
        <v>1567</v>
      </c>
      <c r="B174" s="477">
        <v>0.4770833333333333</v>
      </c>
    </row>
    <row r="175" spans="1:2" hidden="1" x14ac:dyDescent="0.25">
      <c r="A175" s="475" t="s">
        <v>1568</v>
      </c>
      <c r="B175" s="477">
        <v>0.4770833333333333</v>
      </c>
    </row>
    <row r="176" spans="1:2" hidden="1" x14ac:dyDescent="0.25">
      <c r="A176" s="475" t="s">
        <v>1569</v>
      </c>
      <c r="B176" s="477">
        <v>0.47638888888888892</v>
      </c>
    </row>
    <row r="177" spans="1:2" hidden="1" x14ac:dyDescent="0.25">
      <c r="A177" s="475" t="s">
        <v>1570</v>
      </c>
      <c r="B177" s="477">
        <v>0.4770833333333333</v>
      </c>
    </row>
    <row r="178" spans="1:2" hidden="1" x14ac:dyDescent="0.25">
      <c r="A178" s="475" t="s">
        <v>1571</v>
      </c>
      <c r="B178" s="477">
        <v>0.4770833333333333</v>
      </c>
    </row>
    <row r="179" spans="1:2" hidden="1" x14ac:dyDescent="0.25">
      <c r="A179" s="475" t="s">
        <v>1572</v>
      </c>
      <c r="B179" s="477">
        <v>0.4777777777777778</v>
      </c>
    </row>
    <row r="180" spans="1:2" hidden="1" x14ac:dyDescent="0.25">
      <c r="A180" s="475" t="s">
        <v>1573</v>
      </c>
      <c r="B180" s="477">
        <v>0.47638888888888892</v>
      </c>
    </row>
    <row r="181" spans="1:2" hidden="1" x14ac:dyDescent="0.25">
      <c r="A181" s="475" t="s">
        <v>1574</v>
      </c>
      <c r="B181" s="477">
        <v>0.47638888888888892</v>
      </c>
    </row>
    <row r="182" spans="1:2" hidden="1" x14ac:dyDescent="0.25">
      <c r="A182" s="475" t="s">
        <v>1575</v>
      </c>
      <c r="B182" s="477">
        <v>0.4770833333333333</v>
      </c>
    </row>
    <row r="183" spans="1:2" hidden="1" x14ac:dyDescent="0.25">
      <c r="A183" s="475" t="s">
        <v>1576</v>
      </c>
      <c r="B183" s="477">
        <v>0.4770833333333333</v>
      </c>
    </row>
    <row r="184" spans="1:2" hidden="1" x14ac:dyDescent="0.25">
      <c r="A184" s="475" t="s">
        <v>1577</v>
      </c>
      <c r="B184" s="477">
        <v>0.4770833333333333</v>
      </c>
    </row>
    <row r="185" spans="1:2" hidden="1" x14ac:dyDescent="0.25">
      <c r="A185" s="475" t="s">
        <v>1578</v>
      </c>
      <c r="B185" s="477">
        <v>0.47638888888888892</v>
      </c>
    </row>
    <row r="186" spans="1:2" hidden="1" x14ac:dyDescent="0.25">
      <c r="A186" s="475" t="s">
        <v>1579</v>
      </c>
      <c r="B186" s="477">
        <v>0.4770833333333333</v>
      </c>
    </row>
    <row r="187" spans="1:2" hidden="1" x14ac:dyDescent="0.25">
      <c r="A187" s="475" t="s">
        <v>1580</v>
      </c>
      <c r="B187" s="477">
        <v>0.4770833333333333</v>
      </c>
    </row>
    <row r="188" spans="1:2" hidden="1" x14ac:dyDescent="0.25">
      <c r="A188" s="475" t="s">
        <v>1581</v>
      </c>
      <c r="B188" s="477">
        <v>0.4770833333333333</v>
      </c>
    </row>
    <row r="189" spans="1:2" hidden="1" x14ac:dyDescent="0.25">
      <c r="A189" s="475" t="s">
        <v>1582</v>
      </c>
      <c r="B189" s="477">
        <v>0.47638888888888892</v>
      </c>
    </row>
    <row r="190" spans="1:2" hidden="1" x14ac:dyDescent="0.25">
      <c r="A190" s="475" t="s">
        <v>1583</v>
      </c>
      <c r="B190" s="477">
        <v>0.47638888888888892</v>
      </c>
    </row>
    <row r="191" spans="1:2" hidden="1" x14ac:dyDescent="0.25">
      <c r="A191" s="475" t="s">
        <v>1584</v>
      </c>
      <c r="B191" s="477">
        <v>0.4770833333333333</v>
      </c>
    </row>
    <row r="192" spans="1:2" hidden="1" x14ac:dyDescent="0.25">
      <c r="A192" s="475" t="s">
        <v>1585</v>
      </c>
      <c r="B192" s="477">
        <v>0.47638888888888892</v>
      </c>
    </row>
    <row r="193" spans="1:2" hidden="1" x14ac:dyDescent="0.25">
      <c r="A193" s="475" t="s">
        <v>1586</v>
      </c>
      <c r="B193" s="477">
        <v>0.4770833333333333</v>
      </c>
    </row>
    <row r="194" spans="1:2" hidden="1" x14ac:dyDescent="0.25">
      <c r="A194" s="475" t="s">
        <v>1587</v>
      </c>
      <c r="B194" s="477">
        <v>0.4770833333333333</v>
      </c>
    </row>
    <row r="195" spans="1:2" hidden="1" x14ac:dyDescent="0.25">
      <c r="A195" s="475" t="s">
        <v>1588</v>
      </c>
      <c r="B195" s="477">
        <v>0.4770833333333333</v>
      </c>
    </row>
    <row r="196" spans="1:2" hidden="1" x14ac:dyDescent="0.25">
      <c r="A196" s="475" t="s">
        <v>1589</v>
      </c>
      <c r="B196" s="477">
        <v>0.47638888888888892</v>
      </c>
    </row>
    <row r="197" spans="1:2" hidden="1" x14ac:dyDescent="0.25">
      <c r="A197" s="475" t="s">
        <v>1590</v>
      </c>
      <c r="B197" s="477">
        <v>0.47638888888888892</v>
      </c>
    </row>
    <row r="198" spans="1:2" hidden="1" x14ac:dyDescent="0.25">
      <c r="A198" s="475" t="s">
        <v>1591</v>
      </c>
      <c r="B198" s="477">
        <v>0.4777777777777778</v>
      </c>
    </row>
    <row r="199" spans="1:2" hidden="1" x14ac:dyDescent="0.25">
      <c r="A199" s="475" t="s">
        <v>1592</v>
      </c>
      <c r="B199" s="477">
        <v>0.4770833333333333</v>
      </c>
    </row>
    <row r="200" spans="1:2" hidden="1" x14ac:dyDescent="0.25">
      <c r="A200" s="475" t="s">
        <v>1593</v>
      </c>
      <c r="B200" s="477">
        <v>0.47638888888888892</v>
      </c>
    </row>
    <row r="201" spans="1:2" hidden="1" x14ac:dyDescent="0.25">
      <c r="A201" s="475" t="s">
        <v>1594</v>
      </c>
      <c r="B201" s="477">
        <v>0.4770833333333333</v>
      </c>
    </row>
    <row r="202" spans="1:2" hidden="1" x14ac:dyDescent="0.25">
      <c r="A202" s="475" t="s">
        <v>1595</v>
      </c>
      <c r="B202" s="477">
        <v>0.4770833333333333</v>
      </c>
    </row>
    <row r="203" spans="1:2" hidden="1" x14ac:dyDescent="0.25">
      <c r="A203" s="475" t="s">
        <v>1596</v>
      </c>
      <c r="B203" s="477">
        <v>0.4770833333333333</v>
      </c>
    </row>
    <row r="204" spans="1:2" hidden="1" x14ac:dyDescent="0.25">
      <c r="A204" s="475" t="s">
        <v>1597</v>
      </c>
      <c r="B204" s="477">
        <v>0.4770833333333333</v>
      </c>
    </row>
    <row r="205" spans="1:2" hidden="1" x14ac:dyDescent="0.25">
      <c r="A205" s="475" t="s">
        <v>1598</v>
      </c>
      <c r="B205" s="477">
        <v>0.4770833333333333</v>
      </c>
    </row>
    <row r="206" spans="1:2" hidden="1" x14ac:dyDescent="0.25">
      <c r="A206" s="475" t="s">
        <v>1599</v>
      </c>
      <c r="B206" s="477">
        <v>0.47638888888888892</v>
      </c>
    </row>
    <row r="207" spans="1:2" hidden="1" x14ac:dyDescent="0.25">
      <c r="A207" s="475" t="s">
        <v>1600</v>
      </c>
      <c r="B207" s="477">
        <v>0.4770833333333333</v>
      </c>
    </row>
    <row r="208" spans="1:2" hidden="1" x14ac:dyDescent="0.25">
      <c r="A208" s="475" t="s">
        <v>1601</v>
      </c>
      <c r="B208" s="477">
        <v>0.47638888888888892</v>
      </c>
    </row>
    <row r="209" spans="1:2" hidden="1" x14ac:dyDescent="0.25">
      <c r="A209" s="475" t="s">
        <v>1602</v>
      </c>
      <c r="B209" s="477">
        <v>0.4770833333333333</v>
      </c>
    </row>
    <row r="210" spans="1:2" hidden="1" x14ac:dyDescent="0.25">
      <c r="A210" s="475" t="s">
        <v>1603</v>
      </c>
      <c r="B210" s="477">
        <v>0.4770833333333333</v>
      </c>
    </row>
    <row r="211" spans="1:2" hidden="1" x14ac:dyDescent="0.25">
      <c r="A211" s="475" t="s">
        <v>1604</v>
      </c>
      <c r="B211" s="477">
        <v>0.47638888888888892</v>
      </c>
    </row>
    <row r="212" spans="1:2" hidden="1" x14ac:dyDescent="0.25">
      <c r="A212" s="475" t="s">
        <v>1605</v>
      </c>
      <c r="B212" s="477">
        <v>0.4770833333333333</v>
      </c>
    </row>
    <row r="213" spans="1:2" hidden="1" x14ac:dyDescent="0.25">
      <c r="A213" s="475" t="s">
        <v>1606</v>
      </c>
      <c r="B213" s="477">
        <v>0.4770833333333333</v>
      </c>
    </row>
    <row r="214" spans="1:2" hidden="1" x14ac:dyDescent="0.25">
      <c r="A214" s="475" t="s">
        <v>1607</v>
      </c>
      <c r="B214" s="477">
        <v>0.4770833333333333</v>
      </c>
    </row>
    <row r="215" spans="1:2" hidden="1" x14ac:dyDescent="0.25">
      <c r="A215" s="475" t="s">
        <v>1608</v>
      </c>
      <c r="B215" s="477">
        <v>0.4770833333333333</v>
      </c>
    </row>
    <row r="216" spans="1:2" hidden="1" x14ac:dyDescent="0.25">
      <c r="A216" s="475" t="s">
        <v>1609</v>
      </c>
      <c r="B216" s="477">
        <v>0.4770833333333333</v>
      </c>
    </row>
    <row r="217" spans="1:2" hidden="1" x14ac:dyDescent="0.25">
      <c r="A217" s="475" t="s">
        <v>1610</v>
      </c>
      <c r="B217" s="477">
        <v>0.47638888888888892</v>
      </c>
    </row>
    <row r="218" spans="1:2" hidden="1" x14ac:dyDescent="0.25">
      <c r="A218" s="475" t="s">
        <v>1611</v>
      </c>
      <c r="B218" s="477">
        <v>0.47638888888888892</v>
      </c>
    </row>
    <row r="219" spans="1:2" hidden="1" x14ac:dyDescent="0.25">
      <c r="A219" s="475" t="s">
        <v>1612</v>
      </c>
      <c r="B219" s="477">
        <v>0.4770833333333333</v>
      </c>
    </row>
    <row r="220" spans="1:2" hidden="1" x14ac:dyDescent="0.25">
      <c r="A220" s="475" t="s">
        <v>1613</v>
      </c>
      <c r="B220" s="477">
        <v>0.47638888888888892</v>
      </c>
    </row>
    <row r="221" spans="1:2" hidden="1" x14ac:dyDescent="0.25">
      <c r="A221" s="475" t="s">
        <v>1614</v>
      </c>
      <c r="B221" s="477">
        <v>0.4770833333333333</v>
      </c>
    </row>
    <row r="222" spans="1:2" hidden="1" x14ac:dyDescent="0.25">
      <c r="A222" s="475" t="s">
        <v>1615</v>
      </c>
      <c r="B222" s="477">
        <v>0.4770833333333333</v>
      </c>
    </row>
    <row r="223" spans="1:2" hidden="1" x14ac:dyDescent="0.25">
      <c r="A223" s="475" t="s">
        <v>1616</v>
      </c>
      <c r="B223" s="477">
        <v>0.4770833333333333</v>
      </c>
    </row>
    <row r="224" spans="1:2" hidden="1" x14ac:dyDescent="0.25">
      <c r="A224" s="475" t="s">
        <v>1617</v>
      </c>
      <c r="B224" s="477">
        <v>0.4770833333333333</v>
      </c>
    </row>
    <row r="225" spans="1:2" hidden="1" x14ac:dyDescent="0.25">
      <c r="A225" s="475" t="s">
        <v>1618</v>
      </c>
      <c r="B225" s="477">
        <v>0.47638888888888892</v>
      </c>
    </row>
    <row r="226" spans="1:2" hidden="1" x14ac:dyDescent="0.25">
      <c r="A226" s="475" t="s">
        <v>1619</v>
      </c>
      <c r="B226" s="477">
        <v>0.4770833333333333</v>
      </c>
    </row>
    <row r="227" spans="1:2" hidden="1" x14ac:dyDescent="0.25">
      <c r="A227" s="475" t="s">
        <v>1620</v>
      </c>
      <c r="B227" s="477">
        <v>0.47638888888888892</v>
      </c>
    </row>
    <row r="228" spans="1:2" hidden="1" x14ac:dyDescent="0.25">
      <c r="A228" s="475" t="s">
        <v>1621</v>
      </c>
      <c r="B228" s="477">
        <v>0.47638888888888892</v>
      </c>
    </row>
    <row r="229" spans="1:2" hidden="1" x14ac:dyDescent="0.25">
      <c r="A229" s="475" t="s">
        <v>1622</v>
      </c>
      <c r="B229" s="477">
        <v>0.4770833333333333</v>
      </c>
    </row>
    <row r="230" spans="1:2" hidden="1" x14ac:dyDescent="0.25">
      <c r="A230" s="475" t="s">
        <v>1623</v>
      </c>
      <c r="B230" s="477">
        <v>0.4770833333333333</v>
      </c>
    </row>
    <row r="231" spans="1:2" hidden="1" x14ac:dyDescent="0.25">
      <c r="A231" s="475" t="s">
        <v>1624</v>
      </c>
      <c r="B231" s="477">
        <v>0.47638888888888892</v>
      </c>
    </row>
    <row r="232" spans="1:2" hidden="1" x14ac:dyDescent="0.25">
      <c r="A232" s="475" t="s">
        <v>1625</v>
      </c>
      <c r="B232" s="477">
        <v>0.4770833333333333</v>
      </c>
    </row>
    <row r="233" spans="1:2" hidden="1" x14ac:dyDescent="0.25">
      <c r="A233" s="475" t="s">
        <v>1626</v>
      </c>
      <c r="B233" s="477">
        <v>0.4770833333333333</v>
      </c>
    </row>
    <row r="234" spans="1:2" hidden="1" x14ac:dyDescent="0.25">
      <c r="A234" s="475" t="s">
        <v>1627</v>
      </c>
      <c r="B234" s="477">
        <v>0.4770833333333333</v>
      </c>
    </row>
    <row r="235" spans="1:2" hidden="1" x14ac:dyDescent="0.25">
      <c r="A235" s="475" t="s">
        <v>1628</v>
      </c>
      <c r="B235" s="477">
        <v>0.4770833333333333</v>
      </c>
    </row>
    <row r="236" spans="1:2" hidden="1" x14ac:dyDescent="0.25">
      <c r="A236" s="475" t="s">
        <v>1629</v>
      </c>
      <c r="B236" s="477">
        <v>0.47638888888888892</v>
      </c>
    </row>
    <row r="237" spans="1:2" hidden="1" x14ac:dyDescent="0.25">
      <c r="A237" s="475" t="s">
        <v>1630</v>
      </c>
      <c r="B237" s="477">
        <v>0.4770833333333333</v>
      </c>
    </row>
    <row r="238" spans="1:2" hidden="1" x14ac:dyDescent="0.25">
      <c r="A238" s="475" t="s">
        <v>1631</v>
      </c>
      <c r="B238" s="477">
        <v>0.4770833333333333</v>
      </c>
    </row>
    <row r="239" spans="1:2" hidden="1" x14ac:dyDescent="0.25">
      <c r="A239" s="475" t="s">
        <v>1632</v>
      </c>
      <c r="B239" s="477">
        <v>0.47638888888888892</v>
      </c>
    </row>
    <row r="240" spans="1:2" hidden="1" x14ac:dyDescent="0.25">
      <c r="A240" s="475" t="s">
        <v>1633</v>
      </c>
      <c r="B240" s="477">
        <v>0.4770833333333333</v>
      </c>
    </row>
    <row r="241" spans="1:2" hidden="1" x14ac:dyDescent="0.25">
      <c r="A241" s="475" t="s">
        <v>1634</v>
      </c>
      <c r="B241" s="477">
        <v>0.47638888888888892</v>
      </c>
    </row>
    <row r="242" spans="1:2" hidden="1" x14ac:dyDescent="0.25">
      <c r="A242" s="475" t="s">
        <v>1635</v>
      </c>
      <c r="B242" s="477">
        <v>0.4770833333333333</v>
      </c>
    </row>
    <row r="243" spans="1:2" hidden="1" x14ac:dyDescent="0.25">
      <c r="A243" s="475" t="s">
        <v>1636</v>
      </c>
      <c r="B243" s="477">
        <v>0.4770833333333333</v>
      </c>
    </row>
    <row r="244" spans="1:2" hidden="1" x14ac:dyDescent="0.25">
      <c r="A244" s="475" t="s">
        <v>1637</v>
      </c>
      <c r="B244" s="477">
        <v>0.4770833333333333</v>
      </c>
    </row>
    <row r="245" spans="1:2" hidden="1" x14ac:dyDescent="0.25">
      <c r="A245" s="475" t="s">
        <v>1638</v>
      </c>
      <c r="B245" s="477">
        <v>0.47638888888888892</v>
      </c>
    </row>
    <row r="246" spans="1:2" hidden="1" x14ac:dyDescent="0.25">
      <c r="A246" s="475" t="s">
        <v>1639</v>
      </c>
      <c r="B246" s="477">
        <v>0.4770833333333333</v>
      </c>
    </row>
    <row r="247" spans="1:2" hidden="1" x14ac:dyDescent="0.25">
      <c r="A247" s="475" t="s">
        <v>1640</v>
      </c>
      <c r="B247" s="477">
        <v>0.4770833333333333</v>
      </c>
    </row>
    <row r="248" spans="1:2" hidden="1" x14ac:dyDescent="0.25">
      <c r="A248" s="475" t="s">
        <v>1641</v>
      </c>
      <c r="B248" s="477">
        <v>0.4770833333333333</v>
      </c>
    </row>
    <row r="249" spans="1:2" hidden="1" x14ac:dyDescent="0.25">
      <c r="A249" s="475" t="s">
        <v>1642</v>
      </c>
      <c r="B249" s="477">
        <v>0.4770833333333333</v>
      </c>
    </row>
    <row r="250" spans="1:2" hidden="1" x14ac:dyDescent="0.25">
      <c r="A250" s="475" t="s">
        <v>1643</v>
      </c>
      <c r="B250" s="477">
        <v>0.4777777777777778</v>
      </c>
    </row>
    <row r="251" spans="1:2" hidden="1" x14ac:dyDescent="0.25">
      <c r="A251" s="475" t="s">
        <v>1644</v>
      </c>
      <c r="B251" s="477">
        <v>0.47638888888888892</v>
      </c>
    </row>
    <row r="252" spans="1:2" hidden="1" x14ac:dyDescent="0.25">
      <c r="A252" s="475" t="s">
        <v>1645</v>
      </c>
      <c r="B252" s="477">
        <v>0.4777777777777778</v>
      </c>
    </row>
    <row r="253" spans="1:2" hidden="1" x14ac:dyDescent="0.25">
      <c r="A253" s="475" t="s">
        <v>1646</v>
      </c>
      <c r="B253" s="477">
        <v>0.4770833333333333</v>
      </c>
    </row>
    <row r="254" spans="1:2" hidden="1" x14ac:dyDescent="0.25">
      <c r="A254" s="475" t="s">
        <v>1647</v>
      </c>
      <c r="B254" s="477">
        <v>0.4770833333333333</v>
      </c>
    </row>
    <row r="255" spans="1:2" hidden="1" x14ac:dyDescent="0.25">
      <c r="A255" s="475" t="s">
        <v>1648</v>
      </c>
      <c r="B255" s="477">
        <v>0.4770833333333333</v>
      </c>
    </row>
    <row r="256" spans="1:2" hidden="1" x14ac:dyDescent="0.25">
      <c r="A256" s="475" t="s">
        <v>1649</v>
      </c>
      <c r="B256" s="477">
        <v>0.4770833333333333</v>
      </c>
    </row>
    <row r="257" spans="1:2" hidden="1" x14ac:dyDescent="0.25">
      <c r="A257" s="475" t="s">
        <v>1650</v>
      </c>
      <c r="B257" s="477">
        <v>0.47638888888888892</v>
      </c>
    </row>
    <row r="258" spans="1:2" hidden="1" x14ac:dyDescent="0.25">
      <c r="A258" s="475" t="s">
        <v>1651</v>
      </c>
      <c r="B258" s="477">
        <v>0.47638888888888892</v>
      </c>
    </row>
    <row r="259" spans="1:2" hidden="1" x14ac:dyDescent="0.25">
      <c r="A259" s="475" t="s">
        <v>1652</v>
      </c>
      <c r="B259" s="477">
        <v>0.47638888888888892</v>
      </c>
    </row>
    <row r="260" spans="1:2" hidden="1" x14ac:dyDescent="0.25">
      <c r="A260" s="475" t="s">
        <v>1653</v>
      </c>
      <c r="B260" s="477">
        <v>0.4770833333333333</v>
      </c>
    </row>
    <row r="261" spans="1:2" hidden="1" x14ac:dyDescent="0.25">
      <c r="A261" s="475" t="s">
        <v>1654</v>
      </c>
      <c r="B261" s="477">
        <v>0.4770833333333333</v>
      </c>
    </row>
    <row r="262" spans="1:2" hidden="1" x14ac:dyDescent="0.25">
      <c r="A262" s="475" t="s">
        <v>1655</v>
      </c>
      <c r="B262" s="477">
        <v>0.47638888888888892</v>
      </c>
    </row>
    <row r="263" spans="1:2" hidden="1" x14ac:dyDescent="0.25">
      <c r="A263" s="475" t="s">
        <v>1656</v>
      </c>
      <c r="B263" s="477">
        <v>0.4770833333333333</v>
      </c>
    </row>
    <row r="264" spans="1:2" hidden="1" x14ac:dyDescent="0.25">
      <c r="A264" s="475" t="s">
        <v>1657</v>
      </c>
      <c r="B264" s="477">
        <v>0.4770833333333333</v>
      </c>
    </row>
    <row r="265" spans="1:2" hidden="1" x14ac:dyDescent="0.25">
      <c r="A265" s="475" t="s">
        <v>1658</v>
      </c>
      <c r="B265" s="477">
        <v>0.4770833333333333</v>
      </c>
    </row>
    <row r="266" spans="1:2" hidden="1" x14ac:dyDescent="0.25">
      <c r="A266" s="475" t="s">
        <v>1659</v>
      </c>
      <c r="B266" s="477">
        <v>0.47638888888888892</v>
      </c>
    </row>
    <row r="267" spans="1:2" hidden="1" x14ac:dyDescent="0.25">
      <c r="A267" s="475" t="s">
        <v>1660</v>
      </c>
      <c r="B267" s="477">
        <v>0.4770833333333333</v>
      </c>
    </row>
    <row r="268" spans="1:2" hidden="1" x14ac:dyDescent="0.25">
      <c r="A268" s="475" t="s">
        <v>1661</v>
      </c>
      <c r="B268" s="477">
        <v>0.4770833333333333</v>
      </c>
    </row>
    <row r="269" spans="1:2" hidden="1" x14ac:dyDescent="0.25">
      <c r="A269" s="475" t="s">
        <v>1662</v>
      </c>
      <c r="B269" s="477">
        <v>0.4770833333333333</v>
      </c>
    </row>
    <row r="270" spans="1:2" hidden="1" x14ac:dyDescent="0.25">
      <c r="A270" s="475" t="s">
        <v>1663</v>
      </c>
      <c r="B270" s="477">
        <v>0.4770833333333333</v>
      </c>
    </row>
    <row r="271" spans="1:2" hidden="1" x14ac:dyDescent="0.25">
      <c r="A271" s="475" t="s">
        <v>1664</v>
      </c>
      <c r="B271" s="477">
        <v>0.4770833333333333</v>
      </c>
    </row>
    <row r="272" spans="1:2" hidden="1" x14ac:dyDescent="0.25">
      <c r="A272" s="475" t="s">
        <v>1665</v>
      </c>
      <c r="B272" s="477">
        <v>0.4770833333333333</v>
      </c>
    </row>
    <row r="273" spans="1:2" hidden="1" x14ac:dyDescent="0.25">
      <c r="A273" s="475" t="s">
        <v>1666</v>
      </c>
      <c r="B273" s="477">
        <v>0.4770833333333333</v>
      </c>
    </row>
    <row r="274" spans="1:2" hidden="1" x14ac:dyDescent="0.25">
      <c r="A274" s="475" t="s">
        <v>1667</v>
      </c>
      <c r="B274" s="477">
        <v>0.4777777777777778</v>
      </c>
    </row>
    <row r="275" spans="1:2" hidden="1" x14ac:dyDescent="0.25">
      <c r="A275" s="475" t="s">
        <v>1668</v>
      </c>
      <c r="B275" s="477">
        <v>0.47638888888888892</v>
      </c>
    </row>
    <row r="276" spans="1:2" hidden="1" x14ac:dyDescent="0.25">
      <c r="A276" s="475" t="s">
        <v>1669</v>
      </c>
      <c r="B276" s="477">
        <v>0.47638888888888892</v>
      </c>
    </row>
    <row r="277" spans="1:2" hidden="1" x14ac:dyDescent="0.25">
      <c r="A277" s="475" t="s">
        <v>1670</v>
      </c>
      <c r="B277" s="477">
        <v>0.47638888888888892</v>
      </c>
    </row>
    <row r="278" spans="1:2" hidden="1" x14ac:dyDescent="0.25">
      <c r="A278" s="475" t="s">
        <v>1671</v>
      </c>
      <c r="B278" s="477">
        <v>0.4770833333333333</v>
      </c>
    </row>
    <row r="279" spans="1:2" hidden="1" x14ac:dyDescent="0.25">
      <c r="A279" s="475" t="s">
        <v>1672</v>
      </c>
      <c r="B279" s="477">
        <v>0.4770833333333333</v>
      </c>
    </row>
    <row r="280" spans="1:2" hidden="1" x14ac:dyDescent="0.25">
      <c r="A280" s="475" t="s">
        <v>1673</v>
      </c>
      <c r="B280" s="477">
        <v>0.47638888888888892</v>
      </c>
    </row>
    <row r="281" spans="1:2" hidden="1" x14ac:dyDescent="0.25">
      <c r="A281" s="475" t="s">
        <v>1674</v>
      </c>
      <c r="B281" s="477">
        <v>0.47638888888888892</v>
      </c>
    </row>
    <row r="282" spans="1:2" hidden="1" x14ac:dyDescent="0.25">
      <c r="A282" s="475" t="s">
        <v>1675</v>
      </c>
      <c r="B282" s="477">
        <v>0.47638888888888892</v>
      </c>
    </row>
    <row r="283" spans="1:2" hidden="1" x14ac:dyDescent="0.25">
      <c r="A283" s="475" t="s">
        <v>1676</v>
      </c>
      <c r="B283" s="477">
        <v>0.47638888888888892</v>
      </c>
    </row>
    <row r="284" spans="1:2" hidden="1" x14ac:dyDescent="0.25">
      <c r="A284" s="475" t="s">
        <v>1677</v>
      </c>
      <c r="B284" s="477">
        <v>0.47638888888888892</v>
      </c>
    </row>
    <row r="285" spans="1:2" hidden="1" x14ac:dyDescent="0.25">
      <c r="A285" s="475" t="s">
        <v>1678</v>
      </c>
      <c r="B285" s="477">
        <v>0.4770833333333333</v>
      </c>
    </row>
    <row r="286" spans="1:2" hidden="1" x14ac:dyDescent="0.25">
      <c r="A286" s="475" t="s">
        <v>1679</v>
      </c>
      <c r="B286" s="477">
        <v>0.4770833333333333</v>
      </c>
    </row>
    <row r="287" spans="1:2" hidden="1" x14ac:dyDescent="0.25">
      <c r="A287" s="475" t="s">
        <v>1680</v>
      </c>
      <c r="B287" s="477">
        <v>0.4770833333333333</v>
      </c>
    </row>
    <row r="288" spans="1:2" hidden="1" x14ac:dyDescent="0.25">
      <c r="A288" s="475" t="s">
        <v>1681</v>
      </c>
      <c r="B288" s="477">
        <v>0.4770833333333333</v>
      </c>
    </row>
    <row r="289" spans="1:2" hidden="1" x14ac:dyDescent="0.25">
      <c r="A289" s="475" t="s">
        <v>1682</v>
      </c>
      <c r="B289" s="477">
        <v>0.4770833333333333</v>
      </c>
    </row>
    <row r="290" spans="1:2" hidden="1" x14ac:dyDescent="0.25">
      <c r="A290" s="475" t="s">
        <v>1683</v>
      </c>
      <c r="B290" s="477">
        <v>0.4770833333333333</v>
      </c>
    </row>
    <row r="291" spans="1:2" hidden="1" x14ac:dyDescent="0.25">
      <c r="A291" s="475" t="s">
        <v>1684</v>
      </c>
      <c r="B291" s="477">
        <v>0.4770833333333333</v>
      </c>
    </row>
    <row r="292" spans="1:2" hidden="1" x14ac:dyDescent="0.25">
      <c r="A292" s="475" t="s">
        <v>1685</v>
      </c>
      <c r="B292" s="477">
        <v>0.4770833333333333</v>
      </c>
    </row>
    <row r="293" spans="1:2" hidden="1" x14ac:dyDescent="0.25">
      <c r="A293" s="475" t="s">
        <v>1686</v>
      </c>
      <c r="B293" s="477">
        <v>0.4777777777777778</v>
      </c>
    </row>
    <row r="294" spans="1:2" hidden="1" x14ac:dyDescent="0.25">
      <c r="A294" s="475" t="s">
        <v>1687</v>
      </c>
      <c r="B294" s="477">
        <v>0.47638888888888892</v>
      </c>
    </row>
    <row r="295" spans="1:2" hidden="1" x14ac:dyDescent="0.25">
      <c r="A295" s="475" t="s">
        <v>1688</v>
      </c>
      <c r="B295" s="477">
        <v>0.4770833333333333</v>
      </c>
    </row>
    <row r="296" spans="1:2" hidden="1" x14ac:dyDescent="0.25">
      <c r="A296" s="475" t="s">
        <v>1689</v>
      </c>
      <c r="B296" s="477">
        <v>0.4770833333333333</v>
      </c>
    </row>
    <row r="297" spans="1:2" hidden="1" x14ac:dyDescent="0.25">
      <c r="A297" s="475" t="s">
        <v>1690</v>
      </c>
      <c r="B297" s="477">
        <v>0.4770833333333333</v>
      </c>
    </row>
    <row r="298" spans="1:2" hidden="1" x14ac:dyDescent="0.25">
      <c r="A298" s="475" t="s">
        <v>1691</v>
      </c>
      <c r="B298" s="477">
        <v>0.4770833333333333</v>
      </c>
    </row>
    <row r="299" spans="1:2" hidden="1" x14ac:dyDescent="0.25">
      <c r="A299" s="475" t="s">
        <v>1692</v>
      </c>
      <c r="B299" s="477">
        <v>0.4770833333333333</v>
      </c>
    </row>
    <row r="300" spans="1:2" hidden="1" x14ac:dyDescent="0.25">
      <c r="A300" s="475" t="s">
        <v>1693</v>
      </c>
      <c r="B300" s="477">
        <v>0.4770833333333333</v>
      </c>
    </row>
    <row r="301" spans="1:2" hidden="1" x14ac:dyDescent="0.25">
      <c r="A301" s="475" t="s">
        <v>1694</v>
      </c>
      <c r="B301" s="477">
        <v>0.4770833333333333</v>
      </c>
    </row>
    <row r="302" spans="1:2" hidden="1" x14ac:dyDescent="0.25">
      <c r="A302" s="475" t="s">
        <v>1695</v>
      </c>
      <c r="B302" s="477">
        <v>0.4770833333333333</v>
      </c>
    </row>
    <row r="303" spans="1:2" hidden="1" x14ac:dyDescent="0.25">
      <c r="A303" s="475" t="s">
        <v>1696</v>
      </c>
      <c r="B303" s="477">
        <v>0.4770833333333333</v>
      </c>
    </row>
    <row r="304" spans="1:2" hidden="1" x14ac:dyDescent="0.25">
      <c r="A304" s="475" t="s">
        <v>1697</v>
      </c>
      <c r="B304" s="477">
        <v>0.4770833333333333</v>
      </c>
    </row>
    <row r="305" spans="1:2" hidden="1" x14ac:dyDescent="0.25">
      <c r="A305" s="475" t="s">
        <v>1698</v>
      </c>
      <c r="B305" s="477">
        <v>0.4770833333333333</v>
      </c>
    </row>
    <row r="306" spans="1:2" hidden="1" x14ac:dyDescent="0.25">
      <c r="A306" s="475" t="s">
        <v>1699</v>
      </c>
      <c r="B306" s="477">
        <v>0.4770833333333333</v>
      </c>
    </row>
    <row r="307" spans="1:2" hidden="1" x14ac:dyDescent="0.25">
      <c r="A307" s="475" t="s">
        <v>1700</v>
      </c>
      <c r="B307" s="477">
        <v>0.4770833333333333</v>
      </c>
    </row>
    <row r="308" spans="1:2" hidden="1" x14ac:dyDescent="0.25">
      <c r="A308" s="475" t="s">
        <v>1701</v>
      </c>
      <c r="B308" s="477">
        <v>0.4770833333333333</v>
      </c>
    </row>
    <row r="309" spans="1:2" hidden="1" x14ac:dyDescent="0.25">
      <c r="A309" s="475" t="s">
        <v>1702</v>
      </c>
      <c r="B309" s="477">
        <v>0.4777777777777778</v>
      </c>
    </row>
    <row r="310" spans="1:2" hidden="1" x14ac:dyDescent="0.25">
      <c r="A310" s="475" t="s">
        <v>1703</v>
      </c>
      <c r="B310" s="477">
        <v>0.4770833333333333</v>
      </c>
    </row>
    <row r="311" spans="1:2" hidden="1" x14ac:dyDescent="0.25">
      <c r="A311" s="475" t="s">
        <v>1704</v>
      </c>
      <c r="B311" s="477">
        <v>0.4770833333333333</v>
      </c>
    </row>
    <row r="312" spans="1:2" hidden="1" x14ac:dyDescent="0.25">
      <c r="A312" s="475" t="s">
        <v>1705</v>
      </c>
      <c r="B312" s="477">
        <v>0.47638888888888892</v>
      </c>
    </row>
    <row r="313" spans="1:2" hidden="1" x14ac:dyDescent="0.25">
      <c r="A313" s="475" t="s">
        <v>1706</v>
      </c>
      <c r="B313" s="477">
        <v>0.47638888888888892</v>
      </c>
    </row>
    <row r="314" spans="1:2" hidden="1" x14ac:dyDescent="0.25">
      <c r="A314" s="475" t="s">
        <v>1707</v>
      </c>
      <c r="B314" s="477">
        <v>0.4770833333333333</v>
      </c>
    </row>
    <row r="315" spans="1:2" hidden="1" x14ac:dyDescent="0.25">
      <c r="A315" s="475" t="s">
        <v>1708</v>
      </c>
      <c r="B315" s="477">
        <v>0.4770833333333333</v>
      </c>
    </row>
    <row r="316" spans="1:2" hidden="1" x14ac:dyDescent="0.25">
      <c r="A316" s="475" t="s">
        <v>1709</v>
      </c>
      <c r="B316" s="477">
        <v>0.4770833333333333</v>
      </c>
    </row>
    <row r="317" spans="1:2" hidden="1" x14ac:dyDescent="0.25">
      <c r="A317" s="475" t="s">
        <v>1710</v>
      </c>
      <c r="B317" s="477">
        <v>0.4770833333333333</v>
      </c>
    </row>
    <row r="318" spans="1:2" hidden="1" x14ac:dyDescent="0.25">
      <c r="A318" s="475" t="s">
        <v>1711</v>
      </c>
      <c r="B318" s="477">
        <v>0.4770833333333333</v>
      </c>
    </row>
    <row r="319" spans="1:2" hidden="1" x14ac:dyDescent="0.25">
      <c r="A319" s="475" t="s">
        <v>1712</v>
      </c>
      <c r="B319" s="477">
        <v>0.4770833333333333</v>
      </c>
    </row>
    <row r="320" spans="1:2" hidden="1" x14ac:dyDescent="0.25">
      <c r="A320" s="475" t="s">
        <v>1713</v>
      </c>
      <c r="B320" s="477">
        <v>0.4770833333333333</v>
      </c>
    </row>
    <row r="321" spans="1:2" hidden="1" x14ac:dyDescent="0.25">
      <c r="A321" s="475" t="s">
        <v>1714</v>
      </c>
      <c r="B321" s="477">
        <v>0.4770833333333333</v>
      </c>
    </row>
    <row r="322" spans="1:2" hidden="1" x14ac:dyDescent="0.25">
      <c r="A322" s="475" t="s">
        <v>1715</v>
      </c>
      <c r="B322" s="477">
        <v>0.4770833333333333</v>
      </c>
    </row>
    <row r="323" spans="1:2" hidden="1" x14ac:dyDescent="0.25">
      <c r="A323" s="475" t="s">
        <v>1716</v>
      </c>
      <c r="B323" s="477">
        <v>0.47638888888888892</v>
      </c>
    </row>
    <row r="324" spans="1:2" hidden="1" x14ac:dyDescent="0.25">
      <c r="A324" s="475" t="s">
        <v>1717</v>
      </c>
      <c r="B324" s="477">
        <v>0.47638888888888892</v>
      </c>
    </row>
    <row r="325" spans="1:2" hidden="1" x14ac:dyDescent="0.25">
      <c r="A325" s="475" t="s">
        <v>1718</v>
      </c>
      <c r="B325" s="477">
        <v>0.47638888888888892</v>
      </c>
    </row>
    <row r="326" spans="1:2" hidden="1" x14ac:dyDescent="0.25">
      <c r="A326" s="475" t="s">
        <v>1719</v>
      </c>
      <c r="B326" s="477">
        <v>0.4770833333333333</v>
      </c>
    </row>
    <row r="327" spans="1:2" hidden="1" x14ac:dyDescent="0.25">
      <c r="A327" s="475" t="s">
        <v>1720</v>
      </c>
      <c r="B327" s="477">
        <v>0.47638888888888892</v>
      </c>
    </row>
    <row r="328" spans="1:2" hidden="1" x14ac:dyDescent="0.25">
      <c r="A328" s="475" t="s">
        <v>1721</v>
      </c>
      <c r="B328" s="477">
        <v>0.47638888888888892</v>
      </c>
    </row>
    <row r="329" spans="1:2" hidden="1" x14ac:dyDescent="0.25">
      <c r="A329" s="475" t="s">
        <v>1722</v>
      </c>
      <c r="B329" s="477">
        <v>0.4770833333333333</v>
      </c>
    </row>
    <row r="330" spans="1:2" hidden="1" x14ac:dyDescent="0.25">
      <c r="A330" s="475" t="s">
        <v>1723</v>
      </c>
      <c r="B330" s="477">
        <v>0.47638888888888892</v>
      </c>
    </row>
    <row r="331" spans="1:2" hidden="1" x14ac:dyDescent="0.25">
      <c r="A331" s="475" t="s">
        <v>1724</v>
      </c>
      <c r="B331" s="477">
        <v>0.4770833333333333</v>
      </c>
    </row>
    <row r="332" spans="1:2" hidden="1" x14ac:dyDescent="0.25">
      <c r="A332" s="475" t="s">
        <v>1725</v>
      </c>
      <c r="B332" s="477">
        <v>0.47638888888888892</v>
      </c>
    </row>
    <row r="333" spans="1:2" hidden="1" x14ac:dyDescent="0.25">
      <c r="A333" s="475" t="s">
        <v>1726</v>
      </c>
      <c r="B333" s="477">
        <v>0.4770833333333333</v>
      </c>
    </row>
    <row r="334" spans="1:2" hidden="1" x14ac:dyDescent="0.25">
      <c r="A334" s="475" t="s">
        <v>1727</v>
      </c>
      <c r="B334" s="477">
        <v>0.47638888888888892</v>
      </c>
    </row>
    <row r="335" spans="1:2" hidden="1" x14ac:dyDescent="0.25">
      <c r="A335" s="475" t="s">
        <v>1728</v>
      </c>
      <c r="B335" s="477">
        <v>0.4770833333333333</v>
      </c>
    </row>
    <row r="336" spans="1:2" hidden="1" x14ac:dyDescent="0.25">
      <c r="A336" s="475" t="s">
        <v>1729</v>
      </c>
      <c r="B336" s="477">
        <v>0.4770833333333333</v>
      </c>
    </row>
    <row r="337" spans="1:2" hidden="1" x14ac:dyDescent="0.25">
      <c r="A337" s="475" t="s">
        <v>1730</v>
      </c>
      <c r="B337" s="477">
        <v>0.4777777777777778</v>
      </c>
    </row>
    <row r="338" spans="1:2" hidden="1" x14ac:dyDescent="0.25">
      <c r="A338" s="475" t="s">
        <v>1731</v>
      </c>
      <c r="B338" s="477">
        <v>0.4770833333333333</v>
      </c>
    </row>
    <row r="339" spans="1:2" hidden="1" x14ac:dyDescent="0.25">
      <c r="A339" s="475" t="s">
        <v>1732</v>
      </c>
      <c r="B339" s="477">
        <v>0.4770833333333333</v>
      </c>
    </row>
    <row r="340" spans="1:2" hidden="1" x14ac:dyDescent="0.25">
      <c r="A340" s="475" t="s">
        <v>1733</v>
      </c>
      <c r="B340" s="477">
        <v>0.47638888888888892</v>
      </c>
    </row>
    <row r="341" spans="1:2" hidden="1" x14ac:dyDescent="0.25">
      <c r="A341" s="475" t="s">
        <v>1734</v>
      </c>
      <c r="B341" s="477">
        <v>0.47638888888888892</v>
      </c>
    </row>
    <row r="342" spans="1:2" hidden="1" x14ac:dyDescent="0.25">
      <c r="A342" s="475" t="s">
        <v>1735</v>
      </c>
      <c r="B342" s="477">
        <v>0.4770833333333333</v>
      </c>
    </row>
    <row r="343" spans="1:2" hidden="1" x14ac:dyDescent="0.25">
      <c r="A343" s="475" t="s">
        <v>1736</v>
      </c>
      <c r="B343" s="477">
        <v>0.4770833333333333</v>
      </c>
    </row>
    <row r="344" spans="1:2" hidden="1" x14ac:dyDescent="0.25">
      <c r="A344" s="475" t="s">
        <v>1737</v>
      </c>
      <c r="B344" s="477">
        <v>0.4770833333333333</v>
      </c>
    </row>
    <row r="345" spans="1:2" hidden="1" x14ac:dyDescent="0.25">
      <c r="A345" s="475" t="s">
        <v>1738</v>
      </c>
      <c r="B345" s="477">
        <v>0.4770833333333333</v>
      </c>
    </row>
    <row r="346" spans="1:2" hidden="1" x14ac:dyDescent="0.25">
      <c r="A346" s="475" t="s">
        <v>1739</v>
      </c>
      <c r="B346" s="477">
        <v>0.47638888888888892</v>
      </c>
    </row>
    <row r="347" spans="1:2" hidden="1" x14ac:dyDescent="0.25">
      <c r="A347" s="475" t="s">
        <v>1740</v>
      </c>
      <c r="B347" s="477">
        <v>0.47638888888888892</v>
      </c>
    </row>
    <row r="348" spans="1:2" hidden="1" x14ac:dyDescent="0.25">
      <c r="A348" s="475" t="s">
        <v>1741</v>
      </c>
      <c r="B348" s="477">
        <v>0.4770833333333333</v>
      </c>
    </row>
    <row r="349" spans="1:2" hidden="1" x14ac:dyDescent="0.25">
      <c r="A349" s="475" t="s">
        <v>1742</v>
      </c>
      <c r="B349" s="477">
        <v>0.47638888888888892</v>
      </c>
    </row>
    <row r="350" spans="1:2" hidden="1" x14ac:dyDescent="0.25">
      <c r="A350" s="475" t="s">
        <v>1743</v>
      </c>
      <c r="B350" s="477">
        <v>0.4777777777777778</v>
      </c>
    </row>
    <row r="351" spans="1:2" hidden="1" x14ac:dyDescent="0.25">
      <c r="A351" s="475" t="s">
        <v>1744</v>
      </c>
      <c r="B351" s="477">
        <v>0.4770833333333333</v>
      </c>
    </row>
    <row r="352" spans="1:2" hidden="1" x14ac:dyDescent="0.25">
      <c r="A352" s="475" t="s">
        <v>1745</v>
      </c>
      <c r="B352" s="477">
        <v>0.47638888888888892</v>
      </c>
    </row>
    <row r="353" spans="1:2" hidden="1" x14ac:dyDescent="0.25">
      <c r="A353" s="475" t="s">
        <v>1746</v>
      </c>
      <c r="B353" s="477">
        <v>0.4770833333333333</v>
      </c>
    </row>
    <row r="354" spans="1:2" hidden="1" x14ac:dyDescent="0.25">
      <c r="A354" s="475" t="s">
        <v>1747</v>
      </c>
      <c r="B354" s="477">
        <v>0.4770833333333333</v>
      </c>
    </row>
    <row r="355" spans="1:2" hidden="1" x14ac:dyDescent="0.25">
      <c r="A355" s="475" t="s">
        <v>1748</v>
      </c>
      <c r="B355" s="477">
        <v>0.4770833333333333</v>
      </c>
    </row>
    <row r="356" spans="1:2" hidden="1" x14ac:dyDescent="0.25">
      <c r="A356" s="475" t="s">
        <v>1749</v>
      </c>
      <c r="B356" s="477">
        <v>0.4770833333333333</v>
      </c>
    </row>
    <row r="357" spans="1:2" hidden="1" x14ac:dyDescent="0.25">
      <c r="A357" s="475" t="s">
        <v>1750</v>
      </c>
      <c r="B357" s="477">
        <v>0.4770833333333333</v>
      </c>
    </row>
    <row r="358" spans="1:2" hidden="1" x14ac:dyDescent="0.25">
      <c r="A358" s="475" t="s">
        <v>1751</v>
      </c>
      <c r="B358" s="477">
        <v>0.4770833333333333</v>
      </c>
    </row>
    <row r="359" spans="1:2" hidden="1" x14ac:dyDescent="0.25">
      <c r="A359" s="475" t="s">
        <v>1752</v>
      </c>
      <c r="B359" s="477">
        <v>0.4770833333333333</v>
      </c>
    </row>
    <row r="360" spans="1:2" hidden="1" x14ac:dyDescent="0.25">
      <c r="A360" s="475" t="s">
        <v>1753</v>
      </c>
      <c r="B360" s="477">
        <v>0.47638888888888892</v>
      </c>
    </row>
    <row r="361" spans="1:2" hidden="1" x14ac:dyDescent="0.25">
      <c r="A361" s="475" t="s">
        <v>1754</v>
      </c>
      <c r="B361" s="477">
        <v>0.4770833333333333</v>
      </c>
    </row>
    <row r="362" spans="1:2" hidden="1" x14ac:dyDescent="0.25">
      <c r="A362" s="475" t="s">
        <v>1755</v>
      </c>
      <c r="B362" s="477">
        <v>0.4770833333333333</v>
      </c>
    </row>
    <row r="363" spans="1:2" hidden="1" x14ac:dyDescent="0.25">
      <c r="A363" s="475" t="s">
        <v>1756</v>
      </c>
      <c r="B363" s="477">
        <v>0.4770833333333333</v>
      </c>
    </row>
    <row r="364" spans="1:2" hidden="1" x14ac:dyDescent="0.25">
      <c r="A364" s="475" t="s">
        <v>1757</v>
      </c>
      <c r="B364" s="477">
        <v>0.4770833333333333</v>
      </c>
    </row>
    <row r="365" spans="1:2" hidden="1" x14ac:dyDescent="0.25">
      <c r="A365" s="475" t="s">
        <v>1758</v>
      </c>
      <c r="B365" s="477">
        <v>0.4770833333333333</v>
      </c>
    </row>
    <row r="366" spans="1:2" hidden="1" x14ac:dyDescent="0.25">
      <c r="A366" s="475" t="s">
        <v>1759</v>
      </c>
      <c r="B366" s="477">
        <v>0.4777777777777778</v>
      </c>
    </row>
    <row r="367" spans="1:2" hidden="1" x14ac:dyDescent="0.25">
      <c r="A367" s="475" t="s">
        <v>1760</v>
      </c>
      <c r="B367" s="477">
        <v>0.4770833333333333</v>
      </c>
    </row>
    <row r="368" spans="1:2" hidden="1" x14ac:dyDescent="0.25">
      <c r="A368" s="475" t="s">
        <v>1761</v>
      </c>
      <c r="B368" s="477">
        <v>0.4770833333333333</v>
      </c>
    </row>
    <row r="369" spans="1:2" hidden="1" x14ac:dyDescent="0.25">
      <c r="A369" s="475" t="s">
        <v>1762</v>
      </c>
      <c r="B369" s="477">
        <v>0.47638888888888892</v>
      </c>
    </row>
    <row r="370" spans="1:2" hidden="1" x14ac:dyDescent="0.25">
      <c r="A370" s="475" t="s">
        <v>1763</v>
      </c>
      <c r="B370" s="477">
        <v>0.4770833333333333</v>
      </c>
    </row>
    <row r="371" spans="1:2" hidden="1" x14ac:dyDescent="0.25">
      <c r="A371" s="475" t="s">
        <v>1764</v>
      </c>
      <c r="B371" s="477">
        <v>0.47638888888888892</v>
      </c>
    </row>
    <row r="372" spans="1:2" hidden="1" x14ac:dyDescent="0.25">
      <c r="A372" s="475" t="s">
        <v>1765</v>
      </c>
      <c r="B372" s="477">
        <v>0.4770833333333333</v>
      </c>
    </row>
    <row r="373" spans="1:2" hidden="1" x14ac:dyDescent="0.25">
      <c r="A373" s="475" t="s">
        <v>1766</v>
      </c>
      <c r="B373" s="477">
        <v>0.4770833333333333</v>
      </c>
    </row>
    <row r="374" spans="1:2" hidden="1" x14ac:dyDescent="0.25">
      <c r="A374" s="475" t="s">
        <v>1767</v>
      </c>
      <c r="B374" s="477">
        <v>0.47638888888888892</v>
      </c>
    </row>
    <row r="375" spans="1:2" hidden="1" x14ac:dyDescent="0.25">
      <c r="A375" s="475" t="s">
        <v>1768</v>
      </c>
      <c r="B375" s="477">
        <v>0.47638888888888892</v>
      </c>
    </row>
    <row r="376" spans="1:2" hidden="1" x14ac:dyDescent="0.25">
      <c r="A376" s="475" t="s">
        <v>1769</v>
      </c>
      <c r="B376" s="477">
        <v>0.47638888888888892</v>
      </c>
    </row>
    <row r="377" spans="1:2" hidden="1" x14ac:dyDescent="0.25">
      <c r="A377" s="475" t="s">
        <v>1770</v>
      </c>
      <c r="B377" s="477">
        <v>0.4770833333333333</v>
      </c>
    </row>
    <row r="378" spans="1:2" hidden="1" x14ac:dyDescent="0.25">
      <c r="A378" s="475" t="s">
        <v>1771</v>
      </c>
      <c r="B378" s="477">
        <v>0.4770833333333333</v>
      </c>
    </row>
    <row r="379" spans="1:2" hidden="1" x14ac:dyDescent="0.25">
      <c r="A379" s="475" t="s">
        <v>1772</v>
      </c>
      <c r="B379" s="477">
        <v>0.4770833333333333</v>
      </c>
    </row>
    <row r="380" spans="1:2" hidden="1" x14ac:dyDescent="0.25">
      <c r="A380" s="475" t="s">
        <v>1773</v>
      </c>
      <c r="B380" s="477">
        <v>0.4770833333333333</v>
      </c>
    </row>
    <row r="381" spans="1:2" hidden="1" x14ac:dyDescent="0.25">
      <c r="A381" s="475" t="s">
        <v>1774</v>
      </c>
      <c r="B381" s="477">
        <v>0.47638888888888892</v>
      </c>
    </row>
    <row r="382" spans="1:2" hidden="1" x14ac:dyDescent="0.25">
      <c r="A382" s="475" t="s">
        <v>1775</v>
      </c>
      <c r="B382" s="477">
        <v>0.4770833333333333</v>
      </c>
    </row>
    <row r="383" spans="1:2" hidden="1" x14ac:dyDescent="0.25">
      <c r="A383" s="475" t="s">
        <v>1776</v>
      </c>
      <c r="B383" s="477">
        <v>0.4770833333333333</v>
      </c>
    </row>
    <row r="384" spans="1:2" hidden="1" x14ac:dyDescent="0.25">
      <c r="A384" s="475" t="s">
        <v>1777</v>
      </c>
      <c r="B384" s="477">
        <v>0.4770833333333333</v>
      </c>
    </row>
    <row r="385" spans="1:2" hidden="1" x14ac:dyDescent="0.25">
      <c r="A385" s="475" t="s">
        <v>1778</v>
      </c>
      <c r="B385" s="477">
        <v>0.4770833333333333</v>
      </c>
    </row>
    <row r="386" spans="1:2" hidden="1" x14ac:dyDescent="0.25">
      <c r="A386" s="475" t="s">
        <v>1779</v>
      </c>
      <c r="B386" s="477">
        <v>0.4770833333333333</v>
      </c>
    </row>
    <row r="387" spans="1:2" hidden="1" x14ac:dyDescent="0.25">
      <c r="A387" s="475" t="s">
        <v>1780</v>
      </c>
      <c r="B387" s="477">
        <v>0.4770833333333333</v>
      </c>
    </row>
    <row r="388" spans="1:2" hidden="1" x14ac:dyDescent="0.25">
      <c r="A388" s="475" t="s">
        <v>1781</v>
      </c>
      <c r="B388" s="477">
        <v>0.4770833333333333</v>
      </c>
    </row>
    <row r="389" spans="1:2" hidden="1" x14ac:dyDescent="0.25">
      <c r="A389" s="475" t="s">
        <v>1782</v>
      </c>
      <c r="B389" s="477">
        <v>0.47638888888888892</v>
      </c>
    </row>
    <row r="390" spans="1:2" hidden="1" x14ac:dyDescent="0.25">
      <c r="A390" s="475" t="s">
        <v>1783</v>
      </c>
      <c r="B390" s="477">
        <v>0.4770833333333333</v>
      </c>
    </row>
    <row r="391" spans="1:2" hidden="1" x14ac:dyDescent="0.25">
      <c r="A391" s="475" t="s">
        <v>1784</v>
      </c>
      <c r="B391" s="477">
        <v>0.47638888888888892</v>
      </c>
    </row>
    <row r="392" spans="1:2" hidden="1" x14ac:dyDescent="0.25">
      <c r="A392" s="475" t="s">
        <v>1785</v>
      </c>
      <c r="B392" s="477">
        <v>0.4770833333333333</v>
      </c>
    </row>
    <row r="393" spans="1:2" hidden="1" x14ac:dyDescent="0.25">
      <c r="A393" s="475" t="s">
        <v>1786</v>
      </c>
      <c r="B393" s="477">
        <v>0.4770833333333333</v>
      </c>
    </row>
    <row r="394" spans="1:2" hidden="1" x14ac:dyDescent="0.25">
      <c r="A394" s="475" t="s">
        <v>1787</v>
      </c>
      <c r="B394" s="477">
        <v>0.47638888888888892</v>
      </c>
    </row>
    <row r="395" spans="1:2" hidden="1" x14ac:dyDescent="0.25">
      <c r="A395" s="475" t="s">
        <v>1788</v>
      </c>
      <c r="B395" s="477">
        <v>0.47638888888888892</v>
      </c>
    </row>
    <row r="396" spans="1:2" hidden="1" x14ac:dyDescent="0.25">
      <c r="A396" s="475" t="s">
        <v>1789</v>
      </c>
      <c r="B396" s="477">
        <v>0.4770833333333333</v>
      </c>
    </row>
    <row r="397" spans="1:2" hidden="1" x14ac:dyDescent="0.25">
      <c r="A397" s="475" t="s">
        <v>1790</v>
      </c>
      <c r="B397" s="477">
        <v>0.4777777777777778</v>
      </c>
    </row>
    <row r="398" spans="1:2" hidden="1" x14ac:dyDescent="0.25">
      <c r="A398" s="475" t="s">
        <v>1791</v>
      </c>
      <c r="B398" s="477">
        <v>0.4770833333333333</v>
      </c>
    </row>
    <row r="399" spans="1:2" hidden="1" x14ac:dyDescent="0.25">
      <c r="A399" s="475" t="s">
        <v>1792</v>
      </c>
      <c r="B399" s="477">
        <v>0.4777777777777778</v>
      </c>
    </row>
    <row r="400" spans="1:2" hidden="1" x14ac:dyDescent="0.25">
      <c r="A400" s="475" t="s">
        <v>1793</v>
      </c>
      <c r="B400" s="477">
        <v>0.4777777777777778</v>
      </c>
    </row>
    <row r="401" spans="1:2" hidden="1" x14ac:dyDescent="0.25">
      <c r="A401" s="475" t="s">
        <v>1794</v>
      </c>
      <c r="B401" s="477">
        <v>0.4770833333333333</v>
      </c>
    </row>
    <row r="402" spans="1:2" hidden="1" x14ac:dyDescent="0.25">
      <c r="A402" s="475" t="s">
        <v>1795</v>
      </c>
      <c r="B402" s="477">
        <v>0.4770833333333333</v>
      </c>
    </row>
    <row r="403" spans="1:2" hidden="1" x14ac:dyDescent="0.25">
      <c r="A403" s="475" t="s">
        <v>1796</v>
      </c>
      <c r="B403" s="477">
        <v>0.4770833333333333</v>
      </c>
    </row>
    <row r="404" spans="1:2" hidden="1" x14ac:dyDescent="0.25">
      <c r="A404" s="475" t="s">
        <v>1797</v>
      </c>
      <c r="B404" s="477">
        <v>0.4770833333333333</v>
      </c>
    </row>
    <row r="405" spans="1:2" hidden="1" x14ac:dyDescent="0.25">
      <c r="A405" s="475" t="s">
        <v>1798</v>
      </c>
      <c r="B405" s="477">
        <v>0.4770833333333333</v>
      </c>
    </row>
    <row r="406" spans="1:2" hidden="1" x14ac:dyDescent="0.25">
      <c r="A406" s="475" t="s">
        <v>1799</v>
      </c>
      <c r="B406" s="477">
        <v>0.4770833333333333</v>
      </c>
    </row>
    <row r="407" spans="1:2" hidden="1" x14ac:dyDescent="0.25">
      <c r="A407" s="475" t="s">
        <v>1800</v>
      </c>
      <c r="B407" s="477">
        <v>0.4770833333333333</v>
      </c>
    </row>
    <row r="408" spans="1:2" hidden="1" x14ac:dyDescent="0.25">
      <c r="A408" s="475" t="s">
        <v>1801</v>
      </c>
      <c r="B408" s="477">
        <v>0.4770833333333333</v>
      </c>
    </row>
    <row r="409" spans="1:2" hidden="1" x14ac:dyDescent="0.25">
      <c r="A409" s="475" t="s">
        <v>1802</v>
      </c>
      <c r="B409" s="477">
        <v>0.47638888888888892</v>
      </c>
    </row>
    <row r="410" spans="1:2" hidden="1" x14ac:dyDescent="0.25">
      <c r="A410" s="475" t="s">
        <v>1803</v>
      </c>
      <c r="B410" s="477">
        <v>0.4770833333333333</v>
      </c>
    </row>
    <row r="411" spans="1:2" hidden="1" x14ac:dyDescent="0.25">
      <c r="A411" s="475" t="s">
        <v>1804</v>
      </c>
      <c r="B411" s="477">
        <v>0.4770833333333333</v>
      </c>
    </row>
    <row r="412" spans="1:2" hidden="1" x14ac:dyDescent="0.25">
      <c r="A412" s="475" t="s">
        <v>1805</v>
      </c>
      <c r="B412" s="477">
        <v>0.4770833333333333</v>
      </c>
    </row>
    <row r="413" spans="1:2" hidden="1" x14ac:dyDescent="0.25">
      <c r="A413" s="475" t="s">
        <v>1806</v>
      </c>
      <c r="B413" s="477">
        <v>0.4770833333333333</v>
      </c>
    </row>
    <row r="414" spans="1:2" hidden="1" x14ac:dyDescent="0.25">
      <c r="A414" s="475" t="s">
        <v>1807</v>
      </c>
      <c r="B414" s="477">
        <v>0.4770833333333333</v>
      </c>
    </row>
    <row r="415" spans="1:2" hidden="1" x14ac:dyDescent="0.25">
      <c r="A415" s="475" t="s">
        <v>1808</v>
      </c>
      <c r="B415" s="477">
        <v>0.4777777777777778</v>
      </c>
    </row>
    <row r="416" spans="1:2" hidden="1" x14ac:dyDescent="0.25">
      <c r="A416" s="475" t="s">
        <v>1809</v>
      </c>
      <c r="B416" s="477">
        <v>0.4770833333333333</v>
      </c>
    </row>
    <row r="417" spans="1:2" hidden="1" x14ac:dyDescent="0.25">
      <c r="A417" s="475" t="s">
        <v>1810</v>
      </c>
      <c r="B417" s="477">
        <v>0.4770833333333333</v>
      </c>
    </row>
    <row r="418" spans="1:2" hidden="1" x14ac:dyDescent="0.25">
      <c r="A418" s="475" t="s">
        <v>1811</v>
      </c>
      <c r="B418" s="477">
        <v>0.4770833333333333</v>
      </c>
    </row>
    <row r="419" spans="1:2" hidden="1" x14ac:dyDescent="0.25">
      <c r="A419" s="475" t="s">
        <v>1812</v>
      </c>
      <c r="B419" s="477">
        <v>0.4770833333333333</v>
      </c>
    </row>
    <row r="420" spans="1:2" hidden="1" x14ac:dyDescent="0.25">
      <c r="A420" s="475" t="s">
        <v>1813</v>
      </c>
      <c r="B420" s="477">
        <v>0.47638888888888892</v>
      </c>
    </row>
    <row r="421" spans="1:2" hidden="1" x14ac:dyDescent="0.25">
      <c r="A421" s="475" t="s">
        <v>1814</v>
      </c>
      <c r="B421" s="477">
        <v>0.4770833333333333</v>
      </c>
    </row>
    <row r="422" spans="1:2" hidden="1" x14ac:dyDescent="0.25">
      <c r="A422" s="475" t="s">
        <v>1815</v>
      </c>
      <c r="B422" s="477">
        <v>0.47638888888888892</v>
      </c>
    </row>
    <row r="423" spans="1:2" hidden="1" x14ac:dyDescent="0.25">
      <c r="A423" s="475" t="s">
        <v>1816</v>
      </c>
      <c r="B423" s="477">
        <v>0.4777777777777778</v>
      </c>
    </row>
    <row r="424" spans="1:2" hidden="1" x14ac:dyDescent="0.25">
      <c r="A424" s="475" t="s">
        <v>1817</v>
      </c>
      <c r="B424" s="477">
        <v>0.4770833333333333</v>
      </c>
    </row>
    <row r="425" spans="1:2" hidden="1" x14ac:dyDescent="0.25">
      <c r="A425" s="475" t="s">
        <v>1818</v>
      </c>
      <c r="B425" s="477">
        <v>0.4770833333333333</v>
      </c>
    </row>
    <row r="426" spans="1:2" hidden="1" x14ac:dyDescent="0.25">
      <c r="A426" s="475" t="s">
        <v>1819</v>
      </c>
      <c r="B426" s="477">
        <v>0.4770833333333333</v>
      </c>
    </row>
    <row r="427" spans="1:2" hidden="1" x14ac:dyDescent="0.25">
      <c r="A427" s="475" t="s">
        <v>1820</v>
      </c>
      <c r="B427" s="477">
        <v>0.4770833333333333</v>
      </c>
    </row>
    <row r="428" spans="1:2" hidden="1" x14ac:dyDescent="0.25">
      <c r="A428" s="475" t="s">
        <v>1821</v>
      </c>
      <c r="B428" s="477">
        <v>0.47638888888888892</v>
      </c>
    </row>
    <row r="429" spans="1:2" hidden="1" x14ac:dyDescent="0.25">
      <c r="A429" s="475" t="s">
        <v>1822</v>
      </c>
      <c r="B429" s="477">
        <v>0.4770833333333333</v>
      </c>
    </row>
    <row r="430" spans="1:2" hidden="1" x14ac:dyDescent="0.25">
      <c r="A430" s="475" t="s">
        <v>1823</v>
      </c>
      <c r="B430" s="477">
        <v>0.4770833333333333</v>
      </c>
    </row>
    <row r="431" spans="1:2" hidden="1" x14ac:dyDescent="0.25">
      <c r="A431" s="475" t="s">
        <v>1824</v>
      </c>
      <c r="B431" s="477">
        <v>0.4770833333333333</v>
      </c>
    </row>
    <row r="432" spans="1:2" hidden="1" x14ac:dyDescent="0.25">
      <c r="A432" s="475" t="s">
        <v>1825</v>
      </c>
      <c r="B432" s="477">
        <v>0.4770833333333333</v>
      </c>
    </row>
    <row r="433" spans="1:2" hidden="1" x14ac:dyDescent="0.25">
      <c r="A433" s="475" t="s">
        <v>1826</v>
      </c>
      <c r="B433" s="477">
        <v>0.47638888888888892</v>
      </c>
    </row>
    <row r="434" spans="1:2" hidden="1" x14ac:dyDescent="0.25">
      <c r="A434" s="475" t="s">
        <v>1827</v>
      </c>
      <c r="B434" s="477">
        <v>0.4770833333333333</v>
      </c>
    </row>
    <row r="435" spans="1:2" hidden="1" x14ac:dyDescent="0.25">
      <c r="A435" s="475" t="s">
        <v>1828</v>
      </c>
      <c r="B435" s="477">
        <v>0.47638888888888892</v>
      </c>
    </row>
    <row r="436" spans="1:2" hidden="1" x14ac:dyDescent="0.25">
      <c r="A436" s="475" t="s">
        <v>1829</v>
      </c>
      <c r="B436" s="477">
        <v>0.4770833333333333</v>
      </c>
    </row>
    <row r="437" spans="1:2" hidden="1" x14ac:dyDescent="0.25">
      <c r="A437" s="475" t="s">
        <v>1830</v>
      </c>
      <c r="B437" s="477">
        <v>0.47638888888888892</v>
      </c>
    </row>
    <row r="438" spans="1:2" hidden="1" x14ac:dyDescent="0.25">
      <c r="A438" s="475" t="s">
        <v>1831</v>
      </c>
      <c r="B438" s="477">
        <v>0.4770833333333333</v>
      </c>
    </row>
    <row r="439" spans="1:2" hidden="1" x14ac:dyDescent="0.25">
      <c r="A439" s="475" t="s">
        <v>1832</v>
      </c>
      <c r="B439" s="477">
        <v>0.4770833333333333</v>
      </c>
    </row>
    <row r="440" spans="1:2" hidden="1" x14ac:dyDescent="0.25">
      <c r="A440" s="475" t="s">
        <v>1833</v>
      </c>
      <c r="B440" s="477">
        <v>0.47638888888888892</v>
      </c>
    </row>
    <row r="441" spans="1:2" hidden="1" x14ac:dyDescent="0.25">
      <c r="A441" s="475" t="s">
        <v>1834</v>
      </c>
      <c r="B441" s="477">
        <v>0.47638888888888892</v>
      </c>
    </row>
    <row r="442" spans="1:2" hidden="1" x14ac:dyDescent="0.25">
      <c r="A442" s="475" t="s">
        <v>1835</v>
      </c>
      <c r="B442" s="477">
        <v>0.47638888888888892</v>
      </c>
    </row>
    <row r="443" spans="1:2" hidden="1" x14ac:dyDescent="0.25">
      <c r="A443" s="475" t="s">
        <v>1836</v>
      </c>
      <c r="B443" s="477">
        <v>0.4770833333333333</v>
      </c>
    </row>
    <row r="444" spans="1:2" hidden="1" x14ac:dyDescent="0.25">
      <c r="A444" s="475" t="s">
        <v>1837</v>
      </c>
      <c r="B444" s="477">
        <v>0.4777777777777778</v>
      </c>
    </row>
    <row r="445" spans="1:2" hidden="1" x14ac:dyDescent="0.25">
      <c r="A445" s="475" t="s">
        <v>1838</v>
      </c>
      <c r="B445" s="477">
        <v>0.4770833333333333</v>
      </c>
    </row>
    <row r="446" spans="1:2" hidden="1" x14ac:dyDescent="0.25">
      <c r="A446" s="475" t="s">
        <v>1839</v>
      </c>
      <c r="B446" s="477">
        <v>0.4770833333333333</v>
      </c>
    </row>
    <row r="447" spans="1:2" hidden="1" x14ac:dyDescent="0.25">
      <c r="A447" s="475" t="s">
        <v>1840</v>
      </c>
      <c r="B447" s="477">
        <v>0.47638888888888892</v>
      </c>
    </row>
    <row r="448" spans="1:2" hidden="1" x14ac:dyDescent="0.25">
      <c r="A448" s="475" t="s">
        <v>1841</v>
      </c>
      <c r="B448" s="477">
        <v>0.4770833333333333</v>
      </c>
    </row>
    <row r="449" spans="1:2" hidden="1" x14ac:dyDescent="0.25">
      <c r="A449" s="475" t="s">
        <v>1842</v>
      </c>
      <c r="B449" s="477">
        <v>0.4770833333333333</v>
      </c>
    </row>
    <row r="450" spans="1:2" hidden="1" x14ac:dyDescent="0.25">
      <c r="A450" s="475" t="s">
        <v>1843</v>
      </c>
      <c r="B450" s="477">
        <v>0.47638888888888892</v>
      </c>
    </row>
    <row r="451" spans="1:2" hidden="1" x14ac:dyDescent="0.25">
      <c r="A451" s="475" t="s">
        <v>1844</v>
      </c>
      <c r="B451" s="477">
        <v>0.47638888888888892</v>
      </c>
    </row>
    <row r="452" spans="1:2" hidden="1" x14ac:dyDescent="0.25">
      <c r="A452" s="475" t="s">
        <v>1845</v>
      </c>
      <c r="B452" s="477">
        <v>0.4770833333333333</v>
      </c>
    </row>
    <row r="453" spans="1:2" hidden="1" x14ac:dyDescent="0.25">
      <c r="A453" s="475" t="s">
        <v>1846</v>
      </c>
      <c r="B453" s="477">
        <v>0.4777777777777778</v>
      </c>
    </row>
    <row r="454" spans="1:2" hidden="1" x14ac:dyDescent="0.25">
      <c r="A454" s="475" t="s">
        <v>1847</v>
      </c>
      <c r="B454" s="477">
        <v>0.4777777777777778</v>
      </c>
    </row>
    <row r="455" spans="1:2" hidden="1" x14ac:dyDescent="0.25">
      <c r="A455" s="475" t="s">
        <v>1848</v>
      </c>
      <c r="B455" s="477">
        <v>0.4770833333333333</v>
      </c>
    </row>
    <row r="456" spans="1:2" hidden="1" x14ac:dyDescent="0.25">
      <c r="A456" s="475" t="s">
        <v>1849</v>
      </c>
      <c r="B456" s="477">
        <v>0.4770833333333333</v>
      </c>
    </row>
    <row r="457" spans="1:2" hidden="1" x14ac:dyDescent="0.25">
      <c r="A457" s="475" t="s">
        <v>1850</v>
      </c>
      <c r="B457" s="477">
        <v>0.4770833333333333</v>
      </c>
    </row>
    <row r="458" spans="1:2" hidden="1" x14ac:dyDescent="0.25">
      <c r="A458" s="475" t="s">
        <v>1851</v>
      </c>
      <c r="B458" s="477">
        <v>0.47638888888888892</v>
      </c>
    </row>
    <row r="459" spans="1:2" hidden="1" x14ac:dyDescent="0.25">
      <c r="A459" s="475" t="s">
        <v>1852</v>
      </c>
      <c r="B459" s="477">
        <v>0.4770833333333333</v>
      </c>
    </row>
    <row r="460" spans="1:2" hidden="1" x14ac:dyDescent="0.25">
      <c r="A460" s="475" t="s">
        <v>1853</v>
      </c>
      <c r="B460" s="477">
        <v>0.47638888888888892</v>
      </c>
    </row>
    <row r="461" spans="1:2" hidden="1" x14ac:dyDescent="0.25">
      <c r="A461" s="475" t="s">
        <v>1854</v>
      </c>
      <c r="B461" s="477">
        <v>0.4770833333333333</v>
      </c>
    </row>
    <row r="462" spans="1:2" hidden="1" x14ac:dyDescent="0.25">
      <c r="A462" s="475" t="s">
        <v>1855</v>
      </c>
      <c r="B462" s="477">
        <v>0.4770833333333333</v>
      </c>
    </row>
    <row r="463" spans="1:2" hidden="1" x14ac:dyDescent="0.25">
      <c r="A463" s="475" t="s">
        <v>1856</v>
      </c>
      <c r="B463" s="477">
        <v>0.4770833333333333</v>
      </c>
    </row>
    <row r="464" spans="1:2" hidden="1" x14ac:dyDescent="0.25">
      <c r="A464" s="475" t="s">
        <v>1857</v>
      </c>
      <c r="B464" s="477">
        <v>0.47638888888888892</v>
      </c>
    </row>
    <row r="465" spans="1:2" hidden="1" x14ac:dyDescent="0.25">
      <c r="A465" s="475" t="s">
        <v>1858</v>
      </c>
      <c r="B465" s="477">
        <v>0.4770833333333333</v>
      </c>
    </row>
    <row r="466" spans="1:2" hidden="1" x14ac:dyDescent="0.25">
      <c r="A466" s="475" t="s">
        <v>1859</v>
      </c>
      <c r="B466" s="477">
        <v>0.47638888888888892</v>
      </c>
    </row>
    <row r="467" spans="1:2" hidden="1" x14ac:dyDescent="0.25">
      <c r="A467" s="475" t="s">
        <v>1860</v>
      </c>
      <c r="B467" s="477">
        <v>0.4770833333333333</v>
      </c>
    </row>
    <row r="468" spans="1:2" hidden="1" x14ac:dyDescent="0.25">
      <c r="A468" s="475" t="s">
        <v>1861</v>
      </c>
      <c r="B468" s="477">
        <v>0.4770833333333333</v>
      </c>
    </row>
    <row r="469" spans="1:2" hidden="1" x14ac:dyDescent="0.25">
      <c r="A469" s="475" t="s">
        <v>1862</v>
      </c>
      <c r="B469" s="477">
        <v>0.4777777777777778</v>
      </c>
    </row>
    <row r="470" spans="1:2" hidden="1" x14ac:dyDescent="0.25">
      <c r="A470" s="475" t="s">
        <v>1863</v>
      </c>
      <c r="B470" s="477">
        <v>0.4770833333333333</v>
      </c>
    </row>
    <row r="471" spans="1:2" hidden="1" x14ac:dyDescent="0.25">
      <c r="A471" s="475" t="s">
        <v>1864</v>
      </c>
      <c r="B471" s="477">
        <v>0.4770833333333333</v>
      </c>
    </row>
    <row r="472" spans="1:2" hidden="1" x14ac:dyDescent="0.25">
      <c r="A472" s="475" t="s">
        <v>1865</v>
      </c>
      <c r="B472" s="477">
        <v>0.4770833333333333</v>
      </c>
    </row>
    <row r="473" spans="1:2" hidden="1" x14ac:dyDescent="0.25">
      <c r="A473" s="475" t="s">
        <v>1866</v>
      </c>
      <c r="B473" s="477">
        <v>0.47638888888888892</v>
      </c>
    </row>
    <row r="474" spans="1:2" hidden="1" x14ac:dyDescent="0.25">
      <c r="A474" s="475" t="s">
        <v>1867</v>
      </c>
      <c r="B474" s="477">
        <v>0.4777777777777778</v>
      </c>
    </row>
    <row r="475" spans="1:2" hidden="1" x14ac:dyDescent="0.25">
      <c r="A475" s="475" t="s">
        <v>1868</v>
      </c>
      <c r="B475" s="477">
        <v>0.4770833333333333</v>
      </c>
    </row>
    <row r="476" spans="1:2" hidden="1" x14ac:dyDescent="0.25">
      <c r="A476" s="475" t="s">
        <v>1869</v>
      </c>
      <c r="B476" s="477">
        <v>0.4777777777777778</v>
      </c>
    </row>
    <row r="477" spans="1:2" hidden="1" x14ac:dyDescent="0.25">
      <c r="A477" s="475" t="s">
        <v>1870</v>
      </c>
      <c r="B477" s="477">
        <v>0.4770833333333333</v>
      </c>
    </row>
    <row r="478" spans="1:2" hidden="1" x14ac:dyDescent="0.25">
      <c r="A478" s="475" t="s">
        <v>1871</v>
      </c>
      <c r="B478" s="477">
        <v>0.4770833333333333</v>
      </c>
    </row>
    <row r="479" spans="1:2" hidden="1" x14ac:dyDescent="0.25">
      <c r="A479" s="475" t="s">
        <v>1872</v>
      </c>
      <c r="B479" s="477">
        <v>0.4770833333333333</v>
      </c>
    </row>
    <row r="480" spans="1:2" hidden="1" x14ac:dyDescent="0.25">
      <c r="A480" s="475" t="s">
        <v>1873</v>
      </c>
      <c r="B480" s="477">
        <v>0.4770833333333333</v>
      </c>
    </row>
    <row r="481" spans="1:2" hidden="1" x14ac:dyDescent="0.25">
      <c r="A481" s="475" t="s">
        <v>1874</v>
      </c>
      <c r="B481" s="477">
        <v>0.4770833333333333</v>
      </c>
    </row>
    <row r="482" spans="1:2" hidden="1" x14ac:dyDescent="0.25">
      <c r="A482" s="475" t="s">
        <v>1875</v>
      </c>
      <c r="B482" s="477">
        <v>0.47638888888888892</v>
      </c>
    </row>
    <row r="483" spans="1:2" hidden="1" x14ac:dyDescent="0.25">
      <c r="A483" s="475" t="s">
        <v>1876</v>
      </c>
      <c r="B483" s="477">
        <v>0.4770833333333333</v>
      </c>
    </row>
    <row r="484" spans="1:2" hidden="1" x14ac:dyDescent="0.25">
      <c r="A484" s="475" t="s">
        <v>1877</v>
      </c>
      <c r="B484" s="477">
        <v>0.4770833333333333</v>
      </c>
    </row>
    <row r="485" spans="1:2" hidden="1" x14ac:dyDescent="0.25">
      <c r="A485" s="475" t="s">
        <v>1878</v>
      </c>
      <c r="B485" s="477">
        <v>0.47638888888888892</v>
      </c>
    </row>
    <row r="486" spans="1:2" hidden="1" x14ac:dyDescent="0.25">
      <c r="A486" s="475" t="s">
        <v>1879</v>
      </c>
      <c r="B486" s="477">
        <v>0.4770833333333333</v>
      </c>
    </row>
    <row r="487" spans="1:2" hidden="1" x14ac:dyDescent="0.25">
      <c r="A487" s="475" t="s">
        <v>1880</v>
      </c>
      <c r="B487" s="477">
        <v>0.47638888888888892</v>
      </c>
    </row>
    <row r="488" spans="1:2" hidden="1" x14ac:dyDescent="0.25">
      <c r="A488" s="475" t="s">
        <v>1881</v>
      </c>
      <c r="B488" s="477">
        <v>0.47638888888888892</v>
      </c>
    </row>
    <row r="489" spans="1:2" hidden="1" x14ac:dyDescent="0.25">
      <c r="A489" s="475" t="s">
        <v>1882</v>
      </c>
      <c r="B489" s="477">
        <v>0.4777777777777778</v>
      </c>
    </row>
    <row r="490" spans="1:2" hidden="1" x14ac:dyDescent="0.25">
      <c r="A490" s="475" t="s">
        <v>1883</v>
      </c>
      <c r="B490" s="477">
        <v>0.4770833333333333</v>
      </c>
    </row>
    <row r="491" spans="1:2" hidden="1" x14ac:dyDescent="0.25">
      <c r="A491" s="475" t="s">
        <v>1884</v>
      </c>
      <c r="B491" s="477">
        <v>0.4770833333333333</v>
      </c>
    </row>
    <row r="492" spans="1:2" hidden="1" x14ac:dyDescent="0.25">
      <c r="A492" s="475" t="s">
        <v>1885</v>
      </c>
      <c r="B492" s="477">
        <v>0.4770833333333333</v>
      </c>
    </row>
    <row r="493" spans="1:2" hidden="1" x14ac:dyDescent="0.25">
      <c r="A493" s="475" t="s">
        <v>1886</v>
      </c>
      <c r="B493" s="477">
        <v>0.47638888888888892</v>
      </c>
    </row>
    <row r="494" spans="1:2" hidden="1" x14ac:dyDescent="0.25">
      <c r="A494" s="475" t="s">
        <v>1887</v>
      </c>
      <c r="B494" s="477">
        <v>0.4777777777777778</v>
      </c>
    </row>
    <row r="495" spans="1:2" hidden="1" x14ac:dyDescent="0.25">
      <c r="A495" s="475" t="s">
        <v>1888</v>
      </c>
      <c r="B495" s="477">
        <v>0.4770833333333333</v>
      </c>
    </row>
    <row r="496" spans="1:2" hidden="1" x14ac:dyDescent="0.25">
      <c r="A496" s="475" t="s">
        <v>1889</v>
      </c>
      <c r="B496" s="477">
        <v>0.4777777777777778</v>
      </c>
    </row>
    <row r="497" spans="1:2" hidden="1" x14ac:dyDescent="0.25">
      <c r="A497" s="475" t="s">
        <v>1890</v>
      </c>
      <c r="B497" s="477">
        <v>0.47638888888888892</v>
      </c>
    </row>
    <row r="498" spans="1:2" hidden="1" x14ac:dyDescent="0.25">
      <c r="A498" s="475" t="s">
        <v>1891</v>
      </c>
      <c r="B498" s="477">
        <v>0.4770833333333333</v>
      </c>
    </row>
    <row r="499" spans="1:2" hidden="1" x14ac:dyDescent="0.25">
      <c r="A499" s="475" t="s">
        <v>1892</v>
      </c>
      <c r="B499" s="477">
        <v>0.4770833333333333</v>
      </c>
    </row>
    <row r="500" spans="1:2" hidden="1" x14ac:dyDescent="0.25">
      <c r="A500" s="475" t="s">
        <v>1893</v>
      </c>
      <c r="B500" s="477">
        <v>0.47638888888888892</v>
      </c>
    </row>
    <row r="501" spans="1:2" hidden="1" x14ac:dyDescent="0.25">
      <c r="A501" s="475" t="s">
        <v>1894</v>
      </c>
      <c r="B501" s="477">
        <v>0.47638888888888892</v>
      </c>
    </row>
    <row r="502" spans="1:2" hidden="1" x14ac:dyDescent="0.25">
      <c r="A502" s="475" t="s">
        <v>1895</v>
      </c>
      <c r="B502" s="477">
        <v>0.4770833333333333</v>
      </c>
    </row>
    <row r="503" spans="1:2" hidden="1" x14ac:dyDescent="0.25">
      <c r="A503" s="475" t="s">
        <v>1896</v>
      </c>
      <c r="B503" s="477">
        <v>0.4777777777777778</v>
      </c>
    </row>
    <row r="504" spans="1:2" hidden="1" x14ac:dyDescent="0.25">
      <c r="A504" s="475" t="s">
        <v>1897</v>
      </c>
      <c r="B504" s="477">
        <v>0.4770833333333333</v>
      </c>
    </row>
    <row r="505" spans="1:2" hidden="1" x14ac:dyDescent="0.25">
      <c r="A505" s="475" t="s">
        <v>1898</v>
      </c>
      <c r="B505" s="477">
        <v>0.4770833333333333</v>
      </c>
    </row>
    <row r="506" spans="1:2" hidden="1" x14ac:dyDescent="0.25">
      <c r="A506" s="475" t="s">
        <v>1899</v>
      </c>
      <c r="B506" s="477">
        <v>0.4770833333333333</v>
      </c>
    </row>
    <row r="507" spans="1:2" hidden="1" x14ac:dyDescent="0.25">
      <c r="A507" s="475" t="s">
        <v>1900</v>
      </c>
      <c r="B507" s="477">
        <v>0.47638888888888892</v>
      </c>
    </row>
    <row r="508" spans="1:2" hidden="1" x14ac:dyDescent="0.25">
      <c r="A508" s="475" t="s">
        <v>1901</v>
      </c>
      <c r="B508" s="477">
        <v>0.47638888888888892</v>
      </c>
    </row>
    <row r="509" spans="1:2" hidden="1" x14ac:dyDescent="0.25">
      <c r="A509" s="475" t="s">
        <v>1902</v>
      </c>
      <c r="B509" s="477">
        <v>0.4770833333333333</v>
      </c>
    </row>
    <row r="510" spans="1:2" hidden="1" x14ac:dyDescent="0.25">
      <c r="A510" s="475" t="s">
        <v>1903</v>
      </c>
      <c r="B510" s="477">
        <v>0.47638888888888892</v>
      </c>
    </row>
    <row r="511" spans="1:2" hidden="1" x14ac:dyDescent="0.25">
      <c r="A511" s="475" t="s">
        <v>1904</v>
      </c>
      <c r="B511" s="477">
        <v>0.4770833333333333</v>
      </c>
    </row>
    <row r="512" spans="1:2" hidden="1" x14ac:dyDescent="0.25">
      <c r="A512" s="475" t="s">
        <v>1905</v>
      </c>
      <c r="B512" s="477">
        <v>0.4770833333333333</v>
      </c>
    </row>
    <row r="513" spans="1:2" hidden="1" x14ac:dyDescent="0.25">
      <c r="A513" s="475" t="s">
        <v>1906</v>
      </c>
      <c r="B513" s="477">
        <v>0.4770833333333333</v>
      </c>
    </row>
    <row r="514" spans="1:2" hidden="1" x14ac:dyDescent="0.25">
      <c r="A514" s="475" t="s">
        <v>1907</v>
      </c>
      <c r="B514" s="477">
        <v>0.4770833333333333</v>
      </c>
    </row>
    <row r="515" spans="1:2" hidden="1" x14ac:dyDescent="0.25">
      <c r="A515" s="475" t="s">
        <v>1908</v>
      </c>
      <c r="B515" s="477">
        <v>0.47638888888888892</v>
      </c>
    </row>
    <row r="516" spans="1:2" hidden="1" x14ac:dyDescent="0.25">
      <c r="A516" s="475" t="s">
        <v>1909</v>
      </c>
      <c r="B516" s="477">
        <v>0.47638888888888892</v>
      </c>
    </row>
    <row r="517" spans="1:2" hidden="1" x14ac:dyDescent="0.25">
      <c r="A517" s="475" t="s">
        <v>1910</v>
      </c>
      <c r="B517" s="477">
        <v>0.47638888888888892</v>
      </c>
    </row>
    <row r="518" spans="1:2" hidden="1" x14ac:dyDescent="0.25">
      <c r="A518" s="475" t="s">
        <v>1911</v>
      </c>
      <c r="B518" s="477">
        <v>0.4777777777777778</v>
      </c>
    </row>
    <row r="519" spans="1:2" hidden="1" x14ac:dyDescent="0.25">
      <c r="A519" s="475" t="s">
        <v>1912</v>
      </c>
      <c r="B519" s="477">
        <v>0.4770833333333333</v>
      </c>
    </row>
    <row r="520" spans="1:2" hidden="1" x14ac:dyDescent="0.25">
      <c r="A520" s="475" t="s">
        <v>1913</v>
      </c>
      <c r="B520" s="477">
        <v>0.4770833333333333</v>
      </c>
    </row>
    <row r="521" spans="1:2" hidden="1" x14ac:dyDescent="0.25">
      <c r="A521" s="475" t="s">
        <v>1914</v>
      </c>
      <c r="B521" s="477">
        <v>0.4770833333333333</v>
      </c>
    </row>
    <row r="522" spans="1:2" hidden="1" x14ac:dyDescent="0.25">
      <c r="A522" s="475" t="s">
        <v>1915</v>
      </c>
      <c r="B522" s="477">
        <v>0.4770833333333333</v>
      </c>
    </row>
    <row r="523" spans="1:2" hidden="1" x14ac:dyDescent="0.25">
      <c r="A523" s="475" t="s">
        <v>1916</v>
      </c>
      <c r="B523" s="477">
        <v>0.4770833333333333</v>
      </c>
    </row>
    <row r="524" spans="1:2" hidden="1" x14ac:dyDescent="0.25">
      <c r="A524" s="475" t="s">
        <v>1917</v>
      </c>
      <c r="B524" s="477">
        <v>0.4777777777777778</v>
      </c>
    </row>
    <row r="525" spans="1:2" hidden="1" x14ac:dyDescent="0.25">
      <c r="A525" s="475" t="s">
        <v>1918</v>
      </c>
      <c r="B525" s="477">
        <v>0.47638888888888892</v>
      </c>
    </row>
    <row r="526" spans="1:2" hidden="1" x14ac:dyDescent="0.25">
      <c r="A526" s="475" t="s">
        <v>1919</v>
      </c>
      <c r="B526" s="477">
        <v>0.4770833333333333</v>
      </c>
    </row>
    <row r="527" spans="1:2" hidden="1" x14ac:dyDescent="0.25">
      <c r="A527" s="475" t="s">
        <v>1920</v>
      </c>
      <c r="B527" s="477">
        <v>0.4770833333333333</v>
      </c>
    </row>
    <row r="528" spans="1:2" hidden="1" x14ac:dyDescent="0.25">
      <c r="A528" s="475" t="s">
        <v>1921</v>
      </c>
      <c r="B528" s="477">
        <v>0.4770833333333333</v>
      </c>
    </row>
    <row r="529" spans="1:2" hidden="1" x14ac:dyDescent="0.25">
      <c r="A529" s="475" t="s">
        <v>1922</v>
      </c>
      <c r="B529" s="477">
        <v>0.4770833333333333</v>
      </c>
    </row>
    <row r="530" spans="1:2" hidden="1" x14ac:dyDescent="0.25">
      <c r="A530" s="475" t="s">
        <v>1923</v>
      </c>
      <c r="B530" s="477">
        <v>0.4770833333333333</v>
      </c>
    </row>
    <row r="531" spans="1:2" hidden="1" x14ac:dyDescent="0.25">
      <c r="A531" s="475" t="s">
        <v>1924</v>
      </c>
      <c r="B531" s="477">
        <v>0.47638888888888892</v>
      </c>
    </row>
    <row r="532" spans="1:2" hidden="1" x14ac:dyDescent="0.25">
      <c r="A532" s="475" t="s">
        <v>1925</v>
      </c>
      <c r="B532" s="477">
        <v>0.4770833333333333</v>
      </c>
    </row>
    <row r="533" spans="1:2" hidden="1" x14ac:dyDescent="0.25">
      <c r="A533" s="475" t="s">
        <v>1926</v>
      </c>
      <c r="B533" s="477">
        <v>0.47638888888888892</v>
      </c>
    </row>
    <row r="534" spans="1:2" hidden="1" x14ac:dyDescent="0.25">
      <c r="A534" s="475" t="s">
        <v>1927</v>
      </c>
      <c r="B534" s="477">
        <v>0.4770833333333333</v>
      </c>
    </row>
    <row r="535" spans="1:2" hidden="1" x14ac:dyDescent="0.25">
      <c r="A535" s="475" t="s">
        <v>1928</v>
      </c>
      <c r="B535" s="477">
        <v>0.47638888888888892</v>
      </c>
    </row>
    <row r="536" spans="1:2" hidden="1" x14ac:dyDescent="0.25">
      <c r="A536" s="475" t="s">
        <v>1929</v>
      </c>
      <c r="B536" s="477">
        <v>0.4770833333333333</v>
      </c>
    </row>
    <row r="537" spans="1:2" hidden="1" x14ac:dyDescent="0.25">
      <c r="A537" s="475" t="s">
        <v>1930</v>
      </c>
      <c r="B537" s="477">
        <v>0.4770833333333333</v>
      </c>
    </row>
    <row r="538" spans="1:2" hidden="1" x14ac:dyDescent="0.25">
      <c r="A538" s="475" t="s">
        <v>1931</v>
      </c>
      <c r="B538" s="477">
        <v>0.4770833333333333</v>
      </c>
    </row>
    <row r="539" spans="1:2" hidden="1" x14ac:dyDescent="0.25">
      <c r="A539" s="475" t="s">
        <v>1932</v>
      </c>
      <c r="B539" s="477">
        <v>0.4770833333333333</v>
      </c>
    </row>
    <row r="540" spans="1:2" hidden="1" x14ac:dyDescent="0.25">
      <c r="A540" s="475" t="s">
        <v>1933</v>
      </c>
      <c r="B540" s="477">
        <v>0.47638888888888892</v>
      </c>
    </row>
    <row r="541" spans="1:2" hidden="1" x14ac:dyDescent="0.25">
      <c r="A541" s="475" t="s">
        <v>1934</v>
      </c>
      <c r="B541" s="477">
        <v>0.4770833333333333</v>
      </c>
    </row>
    <row r="542" spans="1:2" hidden="1" x14ac:dyDescent="0.25">
      <c r="A542" s="475" t="s">
        <v>1935</v>
      </c>
      <c r="B542" s="477">
        <v>0.4770833333333333</v>
      </c>
    </row>
    <row r="543" spans="1:2" hidden="1" x14ac:dyDescent="0.25">
      <c r="A543" s="475" t="s">
        <v>1936</v>
      </c>
      <c r="B543" s="477">
        <v>0.4770833333333333</v>
      </c>
    </row>
    <row r="544" spans="1:2" hidden="1" x14ac:dyDescent="0.25">
      <c r="A544" s="475" t="s">
        <v>1937</v>
      </c>
      <c r="B544" s="477">
        <v>0.4770833333333333</v>
      </c>
    </row>
    <row r="545" spans="1:2" hidden="1" x14ac:dyDescent="0.25">
      <c r="A545" s="475" t="s">
        <v>1938</v>
      </c>
      <c r="B545" s="477">
        <v>0.4777777777777778</v>
      </c>
    </row>
    <row r="546" spans="1:2" hidden="1" x14ac:dyDescent="0.25">
      <c r="A546" s="475" t="s">
        <v>1939</v>
      </c>
      <c r="B546" s="477">
        <v>0.4770833333333333</v>
      </c>
    </row>
    <row r="547" spans="1:2" hidden="1" x14ac:dyDescent="0.25">
      <c r="A547" s="475" t="s">
        <v>1940</v>
      </c>
      <c r="B547" s="477">
        <v>0.4770833333333333</v>
      </c>
    </row>
    <row r="548" spans="1:2" hidden="1" x14ac:dyDescent="0.25">
      <c r="A548" s="475" t="s">
        <v>1941</v>
      </c>
      <c r="B548" s="477">
        <v>0.47638888888888892</v>
      </c>
    </row>
    <row r="549" spans="1:2" hidden="1" x14ac:dyDescent="0.25">
      <c r="A549" s="475" t="s">
        <v>1942</v>
      </c>
      <c r="B549" s="477">
        <v>0.47638888888888892</v>
      </c>
    </row>
    <row r="550" spans="1:2" hidden="1" x14ac:dyDescent="0.25">
      <c r="A550" s="475" t="s">
        <v>1943</v>
      </c>
      <c r="B550" s="477">
        <v>0.4770833333333333</v>
      </c>
    </row>
    <row r="551" spans="1:2" hidden="1" x14ac:dyDescent="0.25">
      <c r="A551" s="475" t="s">
        <v>1944</v>
      </c>
      <c r="B551" s="477">
        <v>0.4770833333333333</v>
      </c>
    </row>
    <row r="552" spans="1:2" hidden="1" x14ac:dyDescent="0.25">
      <c r="A552" s="475" t="s">
        <v>1945</v>
      </c>
      <c r="B552" s="477">
        <v>0.4770833333333333</v>
      </c>
    </row>
    <row r="553" spans="1:2" hidden="1" x14ac:dyDescent="0.25">
      <c r="A553" s="475" t="s">
        <v>1946</v>
      </c>
      <c r="B553" s="477">
        <v>0.4770833333333333</v>
      </c>
    </row>
    <row r="554" spans="1:2" hidden="1" x14ac:dyDescent="0.25">
      <c r="A554" s="475" t="s">
        <v>1947</v>
      </c>
      <c r="B554" s="477">
        <v>0.47638888888888892</v>
      </c>
    </row>
    <row r="555" spans="1:2" hidden="1" x14ac:dyDescent="0.25">
      <c r="A555" s="475" t="s">
        <v>1948</v>
      </c>
      <c r="B555" s="477">
        <v>0.47638888888888892</v>
      </c>
    </row>
    <row r="556" spans="1:2" hidden="1" x14ac:dyDescent="0.25">
      <c r="A556" s="475" t="s">
        <v>1949</v>
      </c>
      <c r="B556" s="477">
        <v>0.4770833333333333</v>
      </c>
    </row>
    <row r="557" spans="1:2" hidden="1" x14ac:dyDescent="0.25">
      <c r="A557" s="475" t="s">
        <v>1950</v>
      </c>
      <c r="B557" s="477">
        <v>0.47638888888888892</v>
      </c>
    </row>
    <row r="558" spans="1:2" hidden="1" x14ac:dyDescent="0.25">
      <c r="A558" s="475" t="s">
        <v>1951</v>
      </c>
      <c r="B558" s="477">
        <v>0.4770833333333333</v>
      </c>
    </row>
    <row r="559" spans="1:2" hidden="1" x14ac:dyDescent="0.25">
      <c r="A559" s="475" t="s">
        <v>1952</v>
      </c>
      <c r="B559" s="477">
        <v>0.4770833333333333</v>
      </c>
    </row>
    <row r="560" spans="1:2" hidden="1" x14ac:dyDescent="0.25">
      <c r="A560" s="475" t="s">
        <v>1953</v>
      </c>
      <c r="B560" s="477">
        <v>0.47638888888888892</v>
      </c>
    </row>
    <row r="561" spans="1:2" hidden="1" x14ac:dyDescent="0.25">
      <c r="A561" s="475" t="s">
        <v>1954</v>
      </c>
      <c r="B561" s="477">
        <v>0.4770833333333333</v>
      </c>
    </row>
    <row r="562" spans="1:2" hidden="1" x14ac:dyDescent="0.25">
      <c r="A562" s="475" t="s">
        <v>1955</v>
      </c>
      <c r="B562" s="477">
        <v>0.4770833333333333</v>
      </c>
    </row>
    <row r="563" spans="1:2" hidden="1" x14ac:dyDescent="0.25">
      <c r="A563" s="475" t="s">
        <v>1956</v>
      </c>
      <c r="B563" s="477">
        <v>0.4770833333333333</v>
      </c>
    </row>
    <row r="564" spans="1:2" hidden="1" x14ac:dyDescent="0.25">
      <c r="A564" s="475" t="s">
        <v>1957</v>
      </c>
      <c r="B564" s="477">
        <v>0.4770833333333333</v>
      </c>
    </row>
    <row r="565" spans="1:2" hidden="1" x14ac:dyDescent="0.25">
      <c r="A565" s="475" t="s">
        <v>1958</v>
      </c>
      <c r="B565" s="477">
        <v>0.47638888888888892</v>
      </c>
    </row>
    <row r="566" spans="1:2" hidden="1" x14ac:dyDescent="0.25">
      <c r="A566" s="475" t="s">
        <v>1959</v>
      </c>
      <c r="B566" s="477">
        <v>0.47638888888888892</v>
      </c>
    </row>
    <row r="567" spans="1:2" hidden="1" x14ac:dyDescent="0.25">
      <c r="A567" s="475" t="s">
        <v>1960</v>
      </c>
      <c r="B567" s="477">
        <v>0.4770833333333333</v>
      </c>
    </row>
    <row r="568" spans="1:2" hidden="1" x14ac:dyDescent="0.25">
      <c r="A568" s="475" t="s">
        <v>1961</v>
      </c>
      <c r="B568" s="477">
        <v>0.4770833333333333</v>
      </c>
    </row>
    <row r="569" spans="1:2" hidden="1" x14ac:dyDescent="0.25">
      <c r="A569" s="475" t="s">
        <v>1962</v>
      </c>
      <c r="B569" s="477">
        <v>0.4770833333333333</v>
      </c>
    </row>
    <row r="570" spans="1:2" hidden="1" x14ac:dyDescent="0.25">
      <c r="A570" s="475" t="s">
        <v>1963</v>
      </c>
      <c r="B570" s="477">
        <v>0.4770833333333333</v>
      </c>
    </row>
    <row r="571" spans="1:2" hidden="1" x14ac:dyDescent="0.25">
      <c r="A571" s="475" t="s">
        <v>1964</v>
      </c>
      <c r="B571" s="477">
        <v>0.4770833333333333</v>
      </c>
    </row>
    <row r="572" spans="1:2" hidden="1" x14ac:dyDescent="0.25">
      <c r="A572" s="475" t="s">
        <v>1965</v>
      </c>
      <c r="B572" s="477">
        <v>0.4770833333333333</v>
      </c>
    </row>
    <row r="573" spans="1:2" hidden="1" x14ac:dyDescent="0.25">
      <c r="A573" s="475" t="s">
        <v>1966</v>
      </c>
      <c r="B573" s="477">
        <v>0.4770833333333333</v>
      </c>
    </row>
    <row r="574" spans="1:2" hidden="1" x14ac:dyDescent="0.25">
      <c r="A574" s="475" t="s">
        <v>1967</v>
      </c>
      <c r="B574" s="477">
        <v>0.47638888888888892</v>
      </c>
    </row>
    <row r="575" spans="1:2" hidden="1" x14ac:dyDescent="0.25">
      <c r="A575" s="475" t="s">
        <v>1968</v>
      </c>
      <c r="B575" s="477">
        <v>0.47638888888888892</v>
      </c>
    </row>
    <row r="576" spans="1:2" hidden="1" x14ac:dyDescent="0.25">
      <c r="A576" s="475" t="s">
        <v>1969</v>
      </c>
      <c r="B576" s="477">
        <v>0.4777777777777778</v>
      </c>
    </row>
    <row r="577" spans="1:2" hidden="1" x14ac:dyDescent="0.25">
      <c r="A577" s="475" t="s">
        <v>1970</v>
      </c>
      <c r="B577" s="477">
        <v>0.4770833333333333</v>
      </c>
    </row>
    <row r="578" spans="1:2" hidden="1" x14ac:dyDescent="0.25">
      <c r="A578" s="475" t="s">
        <v>1971</v>
      </c>
      <c r="B578" s="477">
        <v>0.4770833333333333</v>
      </c>
    </row>
    <row r="579" spans="1:2" hidden="1" x14ac:dyDescent="0.25">
      <c r="A579" s="475" t="s">
        <v>1972</v>
      </c>
      <c r="B579" s="477">
        <v>0.47638888888888892</v>
      </c>
    </row>
    <row r="580" spans="1:2" hidden="1" x14ac:dyDescent="0.25">
      <c r="A580" s="475" t="s">
        <v>1973</v>
      </c>
      <c r="B580" s="477">
        <v>0.47638888888888892</v>
      </c>
    </row>
    <row r="581" spans="1:2" hidden="1" x14ac:dyDescent="0.25">
      <c r="A581" s="475" t="s">
        <v>1974</v>
      </c>
      <c r="B581" s="477">
        <v>0.4770833333333333</v>
      </c>
    </row>
    <row r="582" spans="1:2" hidden="1" x14ac:dyDescent="0.25">
      <c r="A582" s="475" t="s">
        <v>1975</v>
      </c>
      <c r="B582" s="477">
        <v>0.4770833333333333</v>
      </c>
    </row>
    <row r="583" spans="1:2" hidden="1" x14ac:dyDescent="0.25">
      <c r="A583" s="475" t="s">
        <v>1976</v>
      </c>
      <c r="B583" s="477">
        <v>0.4770833333333333</v>
      </c>
    </row>
    <row r="584" spans="1:2" hidden="1" x14ac:dyDescent="0.25">
      <c r="A584" s="475" t="s">
        <v>1977</v>
      </c>
      <c r="B584" s="477">
        <v>0.47638888888888892</v>
      </c>
    </row>
    <row r="585" spans="1:2" hidden="1" x14ac:dyDescent="0.25">
      <c r="A585" s="475" t="s">
        <v>1978</v>
      </c>
      <c r="B585" s="477">
        <v>0.4770833333333333</v>
      </c>
    </row>
    <row r="586" spans="1:2" hidden="1" x14ac:dyDescent="0.25">
      <c r="A586" s="475" t="s">
        <v>1979</v>
      </c>
      <c r="B586" s="477">
        <v>0.4770833333333333</v>
      </c>
    </row>
    <row r="587" spans="1:2" hidden="1" x14ac:dyDescent="0.25">
      <c r="A587" s="475" t="s">
        <v>1980</v>
      </c>
      <c r="B587" s="477">
        <v>0.47638888888888892</v>
      </c>
    </row>
    <row r="588" spans="1:2" hidden="1" x14ac:dyDescent="0.25">
      <c r="A588" s="475" t="s">
        <v>1981</v>
      </c>
      <c r="B588" s="477">
        <v>0.4770833333333333</v>
      </c>
    </row>
    <row r="589" spans="1:2" hidden="1" x14ac:dyDescent="0.25">
      <c r="A589" s="475" t="s">
        <v>1982</v>
      </c>
      <c r="B589" s="477">
        <v>0.4770833333333333</v>
      </c>
    </row>
    <row r="590" spans="1:2" hidden="1" x14ac:dyDescent="0.25">
      <c r="A590" s="475" t="s">
        <v>1983</v>
      </c>
      <c r="B590" s="477">
        <v>0.47638888888888892</v>
      </c>
    </row>
    <row r="591" spans="1:2" hidden="1" x14ac:dyDescent="0.25">
      <c r="A591" s="475" t="s">
        <v>1984</v>
      </c>
      <c r="B591" s="477">
        <v>0.4770833333333333</v>
      </c>
    </row>
    <row r="592" spans="1:2" hidden="1" x14ac:dyDescent="0.25">
      <c r="A592" s="475" t="s">
        <v>1985</v>
      </c>
      <c r="B592" s="477">
        <v>0.4770833333333333</v>
      </c>
    </row>
    <row r="593" spans="1:2" hidden="1" x14ac:dyDescent="0.25">
      <c r="A593" s="475" t="s">
        <v>1986</v>
      </c>
      <c r="B593" s="477">
        <v>0.4770833333333333</v>
      </c>
    </row>
    <row r="594" spans="1:2" hidden="1" x14ac:dyDescent="0.25">
      <c r="A594" s="475" t="s">
        <v>1987</v>
      </c>
      <c r="B594" s="477">
        <v>0.4770833333333333</v>
      </c>
    </row>
    <row r="595" spans="1:2" hidden="1" x14ac:dyDescent="0.25">
      <c r="A595" s="475" t="s">
        <v>1988</v>
      </c>
      <c r="B595" s="477">
        <v>0.4770833333333333</v>
      </c>
    </row>
    <row r="596" spans="1:2" hidden="1" x14ac:dyDescent="0.25">
      <c r="A596" s="475" t="s">
        <v>1989</v>
      </c>
      <c r="B596" s="477">
        <v>0.4770833333333333</v>
      </c>
    </row>
    <row r="597" spans="1:2" hidden="1" x14ac:dyDescent="0.25">
      <c r="A597" s="475" t="s">
        <v>1990</v>
      </c>
      <c r="B597" s="477">
        <v>0.4770833333333333</v>
      </c>
    </row>
    <row r="598" spans="1:2" hidden="1" x14ac:dyDescent="0.25">
      <c r="A598" s="475" t="s">
        <v>1991</v>
      </c>
      <c r="B598" s="477">
        <v>0.47638888888888892</v>
      </c>
    </row>
    <row r="599" spans="1:2" hidden="1" x14ac:dyDescent="0.25">
      <c r="A599" s="475" t="s">
        <v>1992</v>
      </c>
      <c r="B599" s="477">
        <v>0.47638888888888892</v>
      </c>
    </row>
    <row r="600" spans="1:2" hidden="1" x14ac:dyDescent="0.25">
      <c r="A600" s="475" t="s">
        <v>1993</v>
      </c>
      <c r="B600" s="477">
        <v>0.47638888888888892</v>
      </c>
    </row>
    <row r="601" spans="1:2" hidden="1" x14ac:dyDescent="0.25">
      <c r="A601" s="475" t="s">
        <v>1994</v>
      </c>
      <c r="B601" s="477">
        <v>0.4770833333333333</v>
      </c>
    </row>
    <row r="602" spans="1:2" hidden="1" x14ac:dyDescent="0.25">
      <c r="A602" s="475" t="s">
        <v>1995</v>
      </c>
      <c r="B602" s="477">
        <v>0.47638888888888892</v>
      </c>
    </row>
    <row r="603" spans="1:2" hidden="1" x14ac:dyDescent="0.25">
      <c r="A603" s="475" t="s">
        <v>1996</v>
      </c>
      <c r="B603" s="477">
        <v>0.4770833333333333</v>
      </c>
    </row>
    <row r="604" spans="1:2" hidden="1" x14ac:dyDescent="0.25">
      <c r="A604" s="475" t="s">
        <v>1997</v>
      </c>
      <c r="B604" s="477">
        <v>0.4770833333333333</v>
      </c>
    </row>
    <row r="605" spans="1:2" hidden="1" x14ac:dyDescent="0.25">
      <c r="A605" s="475" t="s">
        <v>1998</v>
      </c>
      <c r="B605" s="477">
        <v>0.4770833333333333</v>
      </c>
    </row>
    <row r="606" spans="1:2" hidden="1" x14ac:dyDescent="0.25">
      <c r="A606" s="475" t="s">
        <v>1999</v>
      </c>
      <c r="B606" s="477">
        <v>0.47638888888888892</v>
      </c>
    </row>
    <row r="607" spans="1:2" hidden="1" x14ac:dyDescent="0.25">
      <c r="A607" s="475" t="s">
        <v>2000</v>
      </c>
      <c r="B607" s="477">
        <v>0.47638888888888892</v>
      </c>
    </row>
    <row r="608" spans="1:2" hidden="1" x14ac:dyDescent="0.25">
      <c r="A608" s="475" t="s">
        <v>2001</v>
      </c>
      <c r="B608" s="477">
        <v>0.4770833333333333</v>
      </c>
    </row>
    <row r="609" spans="1:2" hidden="1" x14ac:dyDescent="0.25">
      <c r="A609" s="475" t="s">
        <v>2002</v>
      </c>
      <c r="B609" s="477">
        <v>0.4770833333333333</v>
      </c>
    </row>
    <row r="610" spans="1:2" hidden="1" x14ac:dyDescent="0.25">
      <c r="A610" s="475" t="s">
        <v>2003</v>
      </c>
      <c r="B610" s="477">
        <v>0.4770833333333333</v>
      </c>
    </row>
    <row r="611" spans="1:2" hidden="1" x14ac:dyDescent="0.25">
      <c r="A611" s="475" t="s">
        <v>2004</v>
      </c>
      <c r="B611" s="477">
        <v>0.4770833333333333</v>
      </c>
    </row>
    <row r="612" spans="1:2" hidden="1" x14ac:dyDescent="0.25">
      <c r="A612" s="475" t="s">
        <v>2005</v>
      </c>
      <c r="B612" s="477">
        <v>0.4770833333333333</v>
      </c>
    </row>
    <row r="613" spans="1:2" hidden="1" x14ac:dyDescent="0.25">
      <c r="A613" s="475" t="s">
        <v>2006</v>
      </c>
      <c r="B613" s="477">
        <v>0.4777777777777778</v>
      </c>
    </row>
    <row r="614" spans="1:2" hidden="1" x14ac:dyDescent="0.25">
      <c r="A614" s="475" t="s">
        <v>2007</v>
      </c>
      <c r="B614" s="477">
        <v>0.4770833333333333</v>
      </c>
    </row>
    <row r="615" spans="1:2" hidden="1" x14ac:dyDescent="0.25">
      <c r="A615" s="475" t="s">
        <v>2008</v>
      </c>
      <c r="B615" s="477">
        <v>0.4770833333333333</v>
      </c>
    </row>
    <row r="616" spans="1:2" hidden="1" x14ac:dyDescent="0.25">
      <c r="A616" s="475" t="s">
        <v>2009</v>
      </c>
      <c r="B616" s="477">
        <v>0.47638888888888892</v>
      </c>
    </row>
    <row r="617" spans="1:2" hidden="1" x14ac:dyDescent="0.25">
      <c r="A617" s="475" t="s">
        <v>2010</v>
      </c>
      <c r="B617" s="477">
        <v>0.47638888888888892</v>
      </c>
    </row>
    <row r="618" spans="1:2" hidden="1" x14ac:dyDescent="0.25">
      <c r="A618" s="475" t="s">
        <v>2011</v>
      </c>
      <c r="B618" s="477">
        <v>0.47638888888888892</v>
      </c>
    </row>
    <row r="619" spans="1:2" hidden="1" x14ac:dyDescent="0.25">
      <c r="A619" s="475" t="s">
        <v>2012</v>
      </c>
      <c r="B619" s="477">
        <v>0.4770833333333333</v>
      </c>
    </row>
    <row r="620" spans="1:2" hidden="1" x14ac:dyDescent="0.25">
      <c r="A620" s="475" t="s">
        <v>2013</v>
      </c>
      <c r="B620" s="477">
        <v>0.4770833333333333</v>
      </c>
    </row>
    <row r="621" spans="1:2" hidden="1" x14ac:dyDescent="0.25">
      <c r="A621" s="475" t="s">
        <v>2014</v>
      </c>
      <c r="B621" s="477">
        <v>0.4770833333333333</v>
      </c>
    </row>
    <row r="622" spans="1:2" hidden="1" x14ac:dyDescent="0.25">
      <c r="A622" s="475" t="s">
        <v>2015</v>
      </c>
      <c r="B622" s="477">
        <v>0.4770833333333333</v>
      </c>
    </row>
    <row r="623" spans="1:2" hidden="1" x14ac:dyDescent="0.25">
      <c r="A623" s="475" t="s">
        <v>2016</v>
      </c>
      <c r="B623" s="477">
        <v>0.4770833333333333</v>
      </c>
    </row>
    <row r="624" spans="1:2" hidden="1" x14ac:dyDescent="0.25">
      <c r="A624" s="475" t="s">
        <v>2017</v>
      </c>
      <c r="B624" s="477">
        <v>0.4770833333333333</v>
      </c>
    </row>
    <row r="625" spans="1:2" hidden="1" x14ac:dyDescent="0.25">
      <c r="A625" s="475" t="s">
        <v>2018</v>
      </c>
      <c r="B625" s="477">
        <v>0.4770833333333333</v>
      </c>
    </row>
    <row r="626" spans="1:2" hidden="1" x14ac:dyDescent="0.25">
      <c r="A626" s="475" t="s">
        <v>2019</v>
      </c>
      <c r="B626" s="477">
        <v>0.4770833333333333</v>
      </c>
    </row>
    <row r="627" spans="1:2" hidden="1" x14ac:dyDescent="0.25">
      <c r="A627" s="475" t="s">
        <v>2020</v>
      </c>
      <c r="B627" s="477">
        <v>0.4770833333333333</v>
      </c>
    </row>
    <row r="628" spans="1:2" hidden="1" x14ac:dyDescent="0.25">
      <c r="A628" s="475" t="s">
        <v>2021</v>
      </c>
      <c r="B628" s="477">
        <v>0.4770833333333333</v>
      </c>
    </row>
    <row r="629" spans="1:2" hidden="1" x14ac:dyDescent="0.25">
      <c r="A629" s="475" t="s">
        <v>2022</v>
      </c>
      <c r="B629" s="477">
        <v>0.4770833333333333</v>
      </c>
    </row>
    <row r="630" spans="1:2" hidden="1" x14ac:dyDescent="0.25">
      <c r="A630" s="475" t="s">
        <v>2023</v>
      </c>
      <c r="B630" s="477">
        <v>0.4770833333333333</v>
      </c>
    </row>
    <row r="631" spans="1:2" hidden="1" x14ac:dyDescent="0.25">
      <c r="A631" s="475" t="s">
        <v>2024</v>
      </c>
      <c r="B631" s="477">
        <v>0.47638888888888892</v>
      </c>
    </row>
    <row r="632" spans="1:2" hidden="1" x14ac:dyDescent="0.25">
      <c r="A632" s="475" t="s">
        <v>2025</v>
      </c>
      <c r="B632" s="477">
        <v>0.4770833333333333</v>
      </c>
    </row>
    <row r="633" spans="1:2" hidden="1" x14ac:dyDescent="0.25">
      <c r="A633" s="475" t="s">
        <v>2026</v>
      </c>
      <c r="B633" s="477">
        <v>0.47638888888888892</v>
      </c>
    </row>
    <row r="634" spans="1:2" hidden="1" x14ac:dyDescent="0.25">
      <c r="A634" s="475" t="s">
        <v>2027</v>
      </c>
      <c r="B634" s="477">
        <v>0.4770833333333333</v>
      </c>
    </row>
    <row r="635" spans="1:2" hidden="1" x14ac:dyDescent="0.25">
      <c r="A635" s="475" t="s">
        <v>2028</v>
      </c>
      <c r="B635" s="477">
        <v>0.47638888888888892</v>
      </c>
    </row>
    <row r="636" spans="1:2" hidden="1" x14ac:dyDescent="0.25">
      <c r="A636" s="475" t="s">
        <v>2029</v>
      </c>
      <c r="B636" s="477">
        <v>0.4770833333333333</v>
      </c>
    </row>
    <row r="637" spans="1:2" hidden="1" x14ac:dyDescent="0.25">
      <c r="A637" s="475" t="s">
        <v>2030</v>
      </c>
      <c r="B637" s="477">
        <v>0.4770833333333333</v>
      </c>
    </row>
    <row r="638" spans="1:2" hidden="1" x14ac:dyDescent="0.25">
      <c r="A638" s="475" t="s">
        <v>2031</v>
      </c>
      <c r="B638" s="477">
        <v>0.4770833333333333</v>
      </c>
    </row>
    <row r="639" spans="1:2" hidden="1" x14ac:dyDescent="0.25">
      <c r="A639" s="475" t="s">
        <v>2032</v>
      </c>
      <c r="B639" s="477">
        <v>0.47638888888888892</v>
      </c>
    </row>
    <row r="640" spans="1:2" hidden="1" x14ac:dyDescent="0.25">
      <c r="A640" s="475" t="s">
        <v>2033</v>
      </c>
      <c r="B640" s="477">
        <v>0.4770833333333333</v>
      </c>
    </row>
    <row r="641" spans="1:2" hidden="1" x14ac:dyDescent="0.25">
      <c r="A641" s="475" t="s">
        <v>2034</v>
      </c>
      <c r="B641" s="477">
        <v>0.4770833333333333</v>
      </c>
    </row>
    <row r="642" spans="1:2" hidden="1" x14ac:dyDescent="0.25">
      <c r="A642" s="475" t="s">
        <v>2035</v>
      </c>
      <c r="B642" s="477">
        <v>0.4770833333333333</v>
      </c>
    </row>
    <row r="643" spans="1:2" hidden="1" x14ac:dyDescent="0.25">
      <c r="A643" s="475" t="s">
        <v>2036</v>
      </c>
      <c r="B643" s="477">
        <v>0.4770833333333333</v>
      </c>
    </row>
    <row r="644" spans="1:2" hidden="1" x14ac:dyDescent="0.25">
      <c r="A644" s="475" t="s">
        <v>2037</v>
      </c>
      <c r="B644" s="477">
        <v>0.47638888888888892</v>
      </c>
    </row>
    <row r="645" spans="1:2" hidden="1" x14ac:dyDescent="0.25">
      <c r="A645" s="475" t="s">
        <v>2038</v>
      </c>
      <c r="B645" s="477">
        <v>0.4770833333333333</v>
      </c>
    </row>
    <row r="646" spans="1:2" hidden="1" x14ac:dyDescent="0.25">
      <c r="A646" s="475" t="s">
        <v>2039</v>
      </c>
      <c r="B646" s="477">
        <v>0.47638888888888892</v>
      </c>
    </row>
    <row r="647" spans="1:2" hidden="1" x14ac:dyDescent="0.25">
      <c r="A647" s="475" t="s">
        <v>2040</v>
      </c>
      <c r="B647" s="477">
        <v>0.4770833333333333</v>
      </c>
    </row>
    <row r="648" spans="1:2" hidden="1" x14ac:dyDescent="0.25">
      <c r="A648" s="475" t="s">
        <v>2041</v>
      </c>
      <c r="B648" s="477">
        <v>0.4777777777777778</v>
      </c>
    </row>
    <row r="649" spans="1:2" hidden="1" x14ac:dyDescent="0.25">
      <c r="A649" s="475" t="s">
        <v>2042</v>
      </c>
      <c r="B649" s="477">
        <v>0.4770833333333333</v>
      </c>
    </row>
    <row r="650" spans="1:2" hidden="1" x14ac:dyDescent="0.25">
      <c r="A650" s="475" t="s">
        <v>2043</v>
      </c>
      <c r="B650" s="477">
        <v>0.47638888888888892</v>
      </c>
    </row>
    <row r="651" spans="1:2" hidden="1" x14ac:dyDescent="0.25">
      <c r="A651" s="475" t="s">
        <v>2044</v>
      </c>
      <c r="B651" s="477">
        <v>0.47638888888888892</v>
      </c>
    </row>
    <row r="652" spans="1:2" hidden="1" x14ac:dyDescent="0.25">
      <c r="A652" s="475" t="s">
        <v>2045</v>
      </c>
      <c r="B652" s="477">
        <v>0.4770833333333333</v>
      </c>
    </row>
    <row r="653" spans="1:2" hidden="1" x14ac:dyDescent="0.25">
      <c r="A653" s="475" t="s">
        <v>2046</v>
      </c>
      <c r="B653" s="477">
        <v>0.47638888888888892</v>
      </c>
    </row>
    <row r="654" spans="1:2" hidden="1" x14ac:dyDescent="0.25">
      <c r="A654" s="475" t="s">
        <v>2047</v>
      </c>
      <c r="B654" s="477">
        <v>0.47638888888888892</v>
      </c>
    </row>
    <row r="655" spans="1:2" hidden="1" x14ac:dyDescent="0.25">
      <c r="A655" s="475" t="s">
        <v>2048</v>
      </c>
      <c r="B655" s="477">
        <v>0.47638888888888892</v>
      </c>
    </row>
    <row r="656" spans="1:2" hidden="1" x14ac:dyDescent="0.25">
      <c r="A656" s="475" t="s">
        <v>2049</v>
      </c>
      <c r="B656" s="477">
        <v>0.4770833333333333</v>
      </c>
    </row>
    <row r="657" spans="1:2" hidden="1" x14ac:dyDescent="0.25">
      <c r="A657" s="475" t="s">
        <v>2050</v>
      </c>
      <c r="B657" s="477">
        <v>0.47638888888888892</v>
      </c>
    </row>
    <row r="658" spans="1:2" hidden="1" x14ac:dyDescent="0.25">
      <c r="A658" s="475" t="s">
        <v>2051</v>
      </c>
      <c r="B658" s="477">
        <v>0.4770833333333333</v>
      </c>
    </row>
    <row r="659" spans="1:2" hidden="1" x14ac:dyDescent="0.25">
      <c r="A659" s="475" t="s">
        <v>2052</v>
      </c>
      <c r="B659" s="477">
        <v>0.4770833333333333</v>
      </c>
    </row>
    <row r="660" spans="1:2" hidden="1" x14ac:dyDescent="0.25">
      <c r="A660" s="475" t="s">
        <v>2053</v>
      </c>
      <c r="B660" s="477">
        <v>0.4770833333333333</v>
      </c>
    </row>
    <row r="661" spans="1:2" hidden="1" x14ac:dyDescent="0.25">
      <c r="A661" s="475" t="s">
        <v>2054</v>
      </c>
      <c r="B661" s="477">
        <v>0.4770833333333333</v>
      </c>
    </row>
    <row r="662" spans="1:2" hidden="1" x14ac:dyDescent="0.25">
      <c r="A662" s="475" t="s">
        <v>2055</v>
      </c>
      <c r="B662" s="477">
        <v>0.4770833333333333</v>
      </c>
    </row>
    <row r="663" spans="1:2" hidden="1" x14ac:dyDescent="0.25">
      <c r="A663" s="475" t="s">
        <v>2056</v>
      </c>
      <c r="B663" s="477">
        <v>0.4770833333333333</v>
      </c>
    </row>
    <row r="664" spans="1:2" hidden="1" x14ac:dyDescent="0.25">
      <c r="A664" s="475" t="s">
        <v>2057</v>
      </c>
      <c r="B664" s="477">
        <v>0.4770833333333333</v>
      </c>
    </row>
    <row r="665" spans="1:2" hidden="1" x14ac:dyDescent="0.25">
      <c r="A665" s="475" t="s">
        <v>2058</v>
      </c>
      <c r="B665" s="477">
        <v>0.4770833333333333</v>
      </c>
    </row>
    <row r="666" spans="1:2" hidden="1" x14ac:dyDescent="0.25">
      <c r="A666" s="475" t="s">
        <v>2059</v>
      </c>
      <c r="B666" s="477">
        <v>0.4770833333333333</v>
      </c>
    </row>
    <row r="667" spans="1:2" hidden="1" x14ac:dyDescent="0.25">
      <c r="A667" s="475" t="s">
        <v>2060</v>
      </c>
      <c r="B667" s="477">
        <v>0.47638888888888892</v>
      </c>
    </row>
    <row r="668" spans="1:2" hidden="1" x14ac:dyDescent="0.25">
      <c r="A668" s="475" t="s">
        <v>2061</v>
      </c>
      <c r="B668" s="477">
        <v>0.47638888888888892</v>
      </c>
    </row>
    <row r="669" spans="1:2" hidden="1" x14ac:dyDescent="0.25">
      <c r="A669" s="475" t="s">
        <v>2062</v>
      </c>
      <c r="B669" s="477">
        <v>0.47638888888888892</v>
      </c>
    </row>
    <row r="670" spans="1:2" hidden="1" x14ac:dyDescent="0.25">
      <c r="A670" s="475" t="s">
        <v>2063</v>
      </c>
      <c r="B670" s="477">
        <v>0.4770833333333333</v>
      </c>
    </row>
    <row r="671" spans="1:2" hidden="1" x14ac:dyDescent="0.25">
      <c r="A671" s="475" t="s">
        <v>2064</v>
      </c>
      <c r="B671" s="477">
        <v>0.4770833333333333</v>
      </c>
    </row>
    <row r="672" spans="1:2" hidden="1" x14ac:dyDescent="0.25">
      <c r="A672" s="475" t="s">
        <v>2065</v>
      </c>
      <c r="B672" s="477">
        <v>0.4770833333333333</v>
      </c>
    </row>
    <row r="673" spans="1:2" hidden="1" x14ac:dyDescent="0.25">
      <c r="A673" s="475" t="s">
        <v>2066</v>
      </c>
      <c r="B673" s="477">
        <v>0.4770833333333333</v>
      </c>
    </row>
    <row r="674" spans="1:2" hidden="1" x14ac:dyDescent="0.25">
      <c r="A674" s="475" t="s">
        <v>2067</v>
      </c>
      <c r="B674" s="477">
        <v>0.4770833333333333</v>
      </c>
    </row>
    <row r="675" spans="1:2" hidden="1" x14ac:dyDescent="0.25">
      <c r="A675" s="475" t="s">
        <v>2068</v>
      </c>
      <c r="B675" s="477">
        <v>0.4770833333333333</v>
      </c>
    </row>
    <row r="676" spans="1:2" hidden="1" x14ac:dyDescent="0.25">
      <c r="A676" s="475" t="s">
        <v>2069</v>
      </c>
      <c r="B676" s="477">
        <v>0.4770833333333333</v>
      </c>
    </row>
    <row r="677" spans="1:2" hidden="1" x14ac:dyDescent="0.25">
      <c r="A677" s="475" t="s">
        <v>2070</v>
      </c>
      <c r="B677" s="477">
        <v>0.4770833333333333</v>
      </c>
    </row>
    <row r="678" spans="1:2" hidden="1" x14ac:dyDescent="0.25">
      <c r="A678" s="475" t="s">
        <v>2071</v>
      </c>
      <c r="B678" s="477">
        <v>0.4770833333333333</v>
      </c>
    </row>
    <row r="679" spans="1:2" hidden="1" x14ac:dyDescent="0.25">
      <c r="A679" s="475" t="s">
        <v>2072</v>
      </c>
      <c r="B679" s="477">
        <v>0.4770833333333333</v>
      </c>
    </row>
    <row r="680" spans="1:2" hidden="1" x14ac:dyDescent="0.25">
      <c r="A680" s="475" t="s">
        <v>2073</v>
      </c>
      <c r="B680" s="477">
        <v>0.4770833333333333</v>
      </c>
    </row>
    <row r="681" spans="1:2" hidden="1" x14ac:dyDescent="0.25">
      <c r="A681" s="475" t="s">
        <v>2074</v>
      </c>
      <c r="B681" s="477">
        <v>0.47638888888888892</v>
      </c>
    </row>
    <row r="682" spans="1:2" hidden="1" x14ac:dyDescent="0.25">
      <c r="A682" s="475" t="s">
        <v>2075</v>
      </c>
      <c r="B682" s="477">
        <v>0.47638888888888892</v>
      </c>
    </row>
    <row r="683" spans="1:2" hidden="1" x14ac:dyDescent="0.25">
      <c r="A683" s="475" t="s">
        <v>2076</v>
      </c>
      <c r="B683" s="477">
        <v>0.47638888888888892</v>
      </c>
    </row>
    <row r="684" spans="1:2" hidden="1" x14ac:dyDescent="0.25">
      <c r="A684" s="475" t="s">
        <v>2077</v>
      </c>
      <c r="B684" s="477">
        <v>0.4770833333333333</v>
      </c>
    </row>
    <row r="685" spans="1:2" hidden="1" x14ac:dyDescent="0.25">
      <c r="A685" s="475" t="s">
        <v>2078</v>
      </c>
      <c r="B685" s="477">
        <v>0.4770833333333333</v>
      </c>
    </row>
    <row r="686" spans="1:2" hidden="1" x14ac:dyDescent="0.25">
      <c r="A686" s="475" t="s">
        <v>2079</v>
      </c>
      <c r="B686" s="477">
        <v>0.47638888888888892</v>
      </c>
    </row>
    <row r="687" spans="1:2" hidden="1" x14ac:dyDescent="0.25">
      <c r="A687" s="475" t="s">
        <v>2080</v>
      </c>
      <c r="B687" s="477">
        <v>0.4770833333333333</v>
      </c>
    </row>
    <row r="688" spans="1:2" hidden="1" x14ac:dyDescent="0.25">
      <c r="A688" s="475" t="s">
        <v>2081</v>
      </c>
      <c r="B688" s="477">
        <v>0.4770833333333333</v>
      </c>
    </row>
    <row r="689" spans="1:2" hidden="1" x14ac:dyDescent="0.25">
      <c r="A689" s="475" t="s">
        <v>2082</v>
      </c>
      <c r="B689" s="477">
        <v>0.47638888888888892</v>
      </c>
    </row>
    <row r="690" spans="1:2" hidden="1" x14ac:dyDescent="0.25">
      <c r="A690" s="475" t="s">
        <v>2083</v>
      </c>
      <c r="B690" s="477">
        <v>0.47638888888888892</v>
      </c>
    </row>
    <row r="691" spans="1:2" hidden="1" x14ac:dyDescent="0.25">
      <c r="A691" s="475" t="s">
        <v>2084</v>
      </c>
      <c r="B691" s="477">
        <v>0.4770833333333333</v>
      </c>
    </row>
    <row r="692" spans="1:2" hidden="1" x14ac:dyDescent="0.25">
      <c r="A692" s="475" t="s">
        <v>2085</v>
      </c>
      <c r="B692" s="477">
        <v>0.47638888888888892</v>
      </c>
    </row>
    <row r="693" spans="1:2" hidden="1" x14ac:dyDescent="0.25">
      <c r="A693" s="475" t="s">
        <v>2086</v>
      </c>
      <c r="B693" s="477">
        <v>0.47638888888888892</v>
      </c>
    </row>
    <row r="694" spans="1:2" hidden="1" x14ac:dyDescent="0.25">
      <c r="A694" s="475" t="s">
        <v>2087</v>
      </c>
      <c r="B694" s="477">
        <v>0.47638888888888892</v>
      </c>
    </row>
    <row r="695" spans="1:2" hidden="1" x14ac:dyDescent="0.25">
      <c r="A695" s="475" t="s">
        <v>2088</v>
      </c>
      <c r="B695" s="477">
        <v>0.4770833333333333</v>
      </c>
    </row>
    <row r="696" spans="1:2" hidden="1" x14ac:dyDescent="0.25">
      <c r="A696" s="475" t="s">
        <v>2089</v>
      </c>
      <c r="B696" s="477">
        <v>0.4770833333333333</v>
      </c>
    </row>
    <row r="697" spans="1:2" hidden="1" x14ac:dyDescent="0.25">
      <c r="A697" s="475" t="s">
        <v>2090</v>
      </c>
      <c r="B697" s="477">
        <v>0.4770833333333333</v>
      </c>
    </row>
    <row r="698" spans="1:2" hidden="1" x14ac:dyDescent="0.25">
      <c r="A698" s="475" t="s">
        <v>2091</v>
      </c>
      <c r="B698" s="477">
        <v>0.4770833333333333</v>
      </c>
    </row>
    <row r="699" spans="1:2" hidden="1" x14ac:dyDescent="0.25">
      <c r="A699" s="475" t="s">
        <v>2092</v>
      </c>
      <c r="B699" s="477">
        <v>0.47638888888888892</v>
      </c>
    </row>
    <row r="700" spans="1:2" hidden="1" x14ac:dyDescent="0.25">
      <c r="A700" s="475" t="s">
        <v>2093</v>
      </c>
      <c r="B700" s="477">
        <v>0.47638888888888892</v>
      </c>
    </row>
    <row r="701" spans="1:2" hidden="1" x14ac:dyDescent="0.25">
      <c r="A701" s="475" t="s">
        <v>2094</v>
      </c>
      <c r="B701" s="477">
        <v>0.4770833333333333</v>
      </c>
    </row>
    <row r="702" spans="1:2" hidden="1" x14ac:dyDescent="0.25">
      <c r="A702" s="475" t="s">
        <v>2095</v>
      </c>
      <c r="B702" s="477">
        <v>0.4770833333333333</v>
      </c>
    </row>
    <row r="703" spans="1:2" hidden="1" x14ac:dyDescent="0.25">
      <c r="A703" s="475" t="s">
        <v>2096</v>
      </c>
      <c r="B703" s="477">
        <v>0.4770833333333333</v>
      </c>
    </row>
    <row r="704" spans="1:2" hidden="1" x14ac:dyDescent="0.25">
      <c r="A704" s="475" t="s">
        <v>2097</v>
      </c>
      <c r="B704" s="477">
        <v>0.4770833333333333</v>
      </c>
    </row>
    <row r="705" spans="1:2" hidden="1" x14ac:dyDescent="0.25">
      <c r="A705" s="475" t="s">
        <v>2098</v>
      </c>
      <c r="B705" s="477">
        <v>0.4777777777777778</v>
      </c>
    </row>
    <row r="706" spans="1:2" hidden="1" x14ac:dyDescent="0.25">
      <c r="A706" s="475" t="s">
        <v>2099</v>
      </c>
      <c r="B706" s="477">
        <v>0.4770833333333333</v>
      </c>
    </row>
    <row r="707" spans="1:2" hidden="1" x14ac:dyDescent="0.25">
      <c r="A707" s="475" t="s">
        <v>2100</v>
      </c>
      <c r="B707" s="477">
        <v>0.4770833333333333</v>
      </c>
    </row>
    <row r="708" spans="1:2" hidden="1" x14ac:dyDescent="0.25">
      <c r="A708" s="475" t="s">
        <v>2101</v>
      </c>
      <c r="B708" s="477">
        <v>0.47638888888888892</v>
      </c>
    </row>
    <row r="709" spans="1:2" hidden="1" x14ac:dyDescent="0.25">
      <c r="A709" s="475" t="s">
        <v>2102</v>
      </c>
      <c r="B709" s="477">
        <v>0.47638888888888892</v>
      </c>
    </row>
    <row r="710" spans="1:2" hidden="1" x14ac:dyDescent="0.25">
      <c r="A710" s="475" t="s">
        <v>2103</v>
      </c>
      <c r="B710" s="477">
        <v>0.4770833333333333</v>
      </c>
    </row>
    <row r="711" spans="1:2" hidden="1" x14ac:dyDescent="0.25">
      <c r="A711" s="475" t="s">
        <v>2104</v>
      </c>
      <c r="B711" s="477">
        <v>0.4770833333333333</v>
      </c>
    </row>
    <row r="712" spans="1:2" hidden="1" x14ac:dyDescent="0.25">
      <c r="A712" s="475" t="s">
        <v>2105</v>
      </c>
      <c r="B712" s="477">
        <v>0.4770833333333333</v>
      </c>
    </row>
    <row r="713" spans="1:2" hidden="1" x14ac:dyDescent="0.25">
      <c r="A713" s="475" t="s">
        <v>2106</v>
      </c>
      <c r="B713" s="477">
        <v>0.4770833333333333</v>
      </c>
    </row>
    <row r="714" spans="1:2" hidden="1" x14ac:dyDescent="0.25">
      <c r="A714" s="475" t="s">
        <v>2107</v>
      </c>
      <c r="B714" s="477">
        <v>0.4770833333333333</v>
      </c>
    </row>
    <row r="715" spans="1:2" hidden="1" x14ac:dyDescent="0.25">
      <c r="A715" s="475" t="s">
        <v>2108</v>
      </c>
      <c r="B715" s="477">
        <v>0.4770833333333333</v>
      </c>
    </row>
    <row r="716" spans="1:2" hidden="1" x14ac:dyDescent="0.25">
      <c r="A716" s="475" t="s">
        <v>2109</v>
      </c>
      <c r="B716" s="477">
        <v>0.4770833333333333</v>
      </c>
    </row>
    <row r="717" spans="1:2" hidden="1" x14ac:dyDescent="0.25">
      <c r="A717" s="475" t="s">
        <v>2110</v>
      </c>
      <c r="B717" s="477">
        <v>0.4770833333333333</v>
      </c>
    </row>
    <row r="718" spans="1:2" hidden="1" x14ac:dyDescent="0.25">
      <c r="A718" s="475" t="s">
        <v>2111</v>
      </c>
      <c r="B718" s="477">
        <v>0.47638888888888892</v>
      </c>
    </row>
    <row r="719" spans="1:2" hidden="1" x14ac:dyDescent="0.25">
      <c r="A719" s="475" t="s">
        <v>2112</v>
      </c>
      <c r="B719" s="477">
        <v>0.4770833333333333</v>
      </c>
    </row>
    <row r="720" spans="1:2" hidden="1" x14ac:dyDescent="0.25">
      <c r="A720" s="475" t="s">
        <v>2113</v>
      </c>
      <c r="B720" s="477">
        <v>0.4770833333333333</v>
      </c>
    </row>
    <row r="721" spans="1:2" hidden="1" x14ac:dyDescent="0.25">
      <c r="A721" s="475" t="s">
        <v>2114</v>
      </c>
      <c r="B721" s="477">
        <v>0.4770833333333333</v>
      </c>
    </row>
    <row r="722" spans="1:2" hidden="1" x14ac:dyDescent="0.25">
      <c r="A722" s="475" t="s">
        <v>2115</v>
      </c>
      <c r="B722" s="477">
        <v>0.4770833333333333</v>
      </c>
    </row>
    <row r="723" spans="1:2" hidden="1" x14ac:dyDescent="0.25">
      <c r="A723" s="475" t="s">
        <v>2116</v>
      </c>
      <c r="B723" s="477">
        <v>0.4770833333333333</v>
      </c>
    </row>
    <row r="724" spans="1:2" hidden="1" x14ac:dyDescent="0.25">
      <c r="A724" s="475" t="s">
        <v>2117</v>
      </c>
      <c r="B724" s="477">
        <v>0.4770833333333333</v>
      </c>
    </row>
    <row r="725" spans="1:2" hidden="1" x14ac:dyDescent="0.25">
      <c r="A725" s="475" t="s">
        <v>2118</v>
      </c>
      <c r="B725" s="477">
        <v>0.47638888888888892</v>
      </c>
    </row>
    <row r="726" spans="1:2" hidden="1" x14ac:dyDescent="0.25">
      <c r="A726" s="475" t="s">
        <v>2119</v>
      </c>
      <c r="B726" s="477">
        <v>0.4770833333333333</v>
      </c>
    </row>
    <row r="727" spans="1:2" hidden="1" x14ac:dyDescent="0.25">
      <c r="A727" s="475" t="s">
        <v>2120</v>
      </c>
      <c r="B727" s="477">
        <v>0.4770833333333333</v>
      </c>
    </row>
    <row r="728" spans="1:2" hidden="1" x14ac:dyDescent="0.25">
      <c r="A728" s="475" t="s">
        <v>2121</v>
      </c>
      <c r="B728" s="477">
        <v>0.4770833333333333</v>
      </c>
    </row>
    <row r="729" spans="1:2" hidden="1" x14ac:dyDescent="0.25">
      <c r="A729" s="475" t="s">
        <v>2122</v>
      </c>
      <c r="B729" s="477">
        <v>0.47638888888888892</v>
      </c>
    </row>
    <row r="730" spans="1:2" hidden="1" x14ac:dyDescent="0.25">
      <c r="A730" s="475" t="s">
        <v>2123</v>
      </c>
      <c r="B730" s="477">
        <v>0.4777777777777778</v>
      </c>
    </row>
    <row r="731" spans="1:2" hidden="1" x14ac:dyDescent="0.25">
      <c r="A731" s="475" t="s">
        <v>2124</v>
      </c>
      <c r="B731" s="477">
        <v>0.4777777777777778</v>
      </c>
    </row>
    <row r="732" spans="1:2" hidden="1" x14ac:dyDescent="0.25">
      <c r="A732" s="475" t="s">
        <v>2125</v>
      </c>
      <c r="B732" s="477">
        <v>0.47638888888888892</v>
      </c>
    </row>
    <row r="733" spans="1:2" hidden="1" x14ac:dyDescent="0.25">
      <c r="A733" s="475" t="s">
        <v>2126</v>
      </c>
      <c r="B733" s="477">
        <v>0.4770833333333333</v>
      </c>
    </row>
    <row r="734" spans="1:2" hidden="1" x14ac:dyDescent="0.25">
      <c r="A734" s="475" t="s">
        <v>2127</v>
      </c>
      <c r="B734" s="477">
        <v>0.4770833333333333</v>
      </c>
    </row>
    <row r="735" spans="1:2" hidden="1" x14ac:dyDescent="0.25">
      <c r="A735" s="475" t="s">
        <v>2128</v>
      </c>
      <c r="B735" s="477">
        <v>0.4770833333333333</v>
      </c>
    </row>
    <row r="736" spans="1:2" hidden="1" x14ac:dyDescent="0.25">
      <c r="A736" s="475" t="s">
        <v>2129</v>
      </c>
      <c r="B736" s="477">
        <v>0.4770833333333333</v>
      </c>
    </row>
    <row r="737" spans="1:2" hidden="1" x14ac:dyDescent="0.25">
      <c r="A737" s="475" t="s">
        <v>2130</v>
      </c>
      <c r="B737" s="477">
        <v>0.4777777777777778</v>
      </c>
    </row>
    <row r="738" spans="1:2" hidden="1" x14ac:dyDescent="0.25">
      <c r="A738" s="475" t="s">
        <v>2131</v>
      </c>
      <c r="B738" s="477">
        <v>0.4770833333333333</v>
      </c>
    </row>
    <row r="739" spans="1:2" hidden="1" x14ac:dyDescent="0.25">
      <c r="A739" s="475" t="s">
        <v>2132</v>
      </c>
      <c r="B739" s="477">
        <v>0.47638888888888892</v>
      </c>
    </row>
    <row r="740" spans="1:2" hidden="1" x14ac:dyDescent="0.25">
      <c r="A740" s="475" t="s">
        <v>2133</v>
      </c>
      <c r="B740" s="477">
        <v>0.4770833333333333</v>
      </c>
    </row>
    <row r="741" spans="1:2" hidden="1" x14ac:dyDescent="0.25">
      <c r="A741" s="475" t="s">
        <v>2134</v>
      </c>
      <c r="B741" s="477">
        <v>0.4770833333333333</v>
      </c>
    </row>
    <row r="742" spans="1:2" hidden="1" x14ac:dyDescent="0.25">
      <c r="A742" s="475" t="s">
        <v>2135</v>
      </c>
      <c r="B742" s="477">
        <v>0.4770833333333333</v>
      </c>
    </row>
    <row r="743" spans="1:2" hidden="1" x14ac:dyDescent="0.25">
      <c r="A743" s="475" t="s">
        <v>2136</v>
      </c>
      <c r="B743" s="477">
        <v>0.4770833333333333</v>
      </c>
    </row>
    <row r="744" spans="1:2" hidden="1" x14ac:dyDescent="0.25">
      <c r="A744" s="475" t="s">
        <v>2137</v>
      </c>
      <c r="B744" s="477">
        <v>0.4770833333333333</v>
      </c>
    </row>
    <row r="745" spans="1:2" hidden="1" x14ac:dyDescent="0.25">
      <c r="A745" s="475" t="s">
        <v>2138</v>
      </c>
      <c r="B745" s="477">
        <v>0.47638888888888892</v>
      </c>
    </row>
    <row r="746" spans="1:2" hidden="1" x14ac:dyDescent="0.25">
      <c r="A746" s="475" t="s">
        <v>2139</v>
      </c>
      <c r="B746" s="477">
        <v>0.4770833333333333</v>
      </c>
    </row>
    <row r="747" spans="1:2" hidden="1" x14ac:dyDescent="0.25">
      <c r="A747" s="475" t="s">
        <v>2140</v>
      </c>
      <c r="B747" s="477">
        <v>0.4770833333333333</v>
      </c>
    </row>
    <row r="748" spans="1:2" hidden="1" x14ac:dyDescent="0.25">
      <c r="A748" s="475" t="s">
        <v>2141</v>
      </c>
      <c r="B748" s="477">
        <v>0.4770833333333333</v>
      </c>
    </row>
    <row r="749" spans="1:2" hidden="1" x14ac:dyDescent="0.25">
      <c r="A749" s="475" t="s">
        <v>2142</v>
      </c>
      <c r="B749" s="477">
        <v>0.4770833333333333</v>
      </c>
    </row>
    <row r="750" spans="1:2" hidden="1" x14ac:dyDescent="0.25">
      <c r="A750" s="475" t="s">
        <v>2143</v>
      </c>
      <c r="B750" s="477">
        <v>0.47638888888888892</v>
      </c>
    </row>
    <row r="751" spans="1:2" hidden="1" x14ac:dyDescent="0.25">
      <c r="A751" s="475" t="s">
        <v>2144</v>
      </c>
      <c r="B751" s="477">
        <v>0.4770833333333333</v>
      </c>
    </row>
    <row r="752" spans="1:2" hidden="1" x14ac:dyDescent="0.25">
      <c r="A752" s="475" t="s">
        <v>2145</v>
      </c>
      <c r="B752" s="477">
        <v>0.47638888888888892</v>
      </c>
    </row>
    <row r="753" spans="1:2" hidden="1" x14ac:dyDescent="0.25">
      <c r="A753" s="475" t="s">
        <v>2146</v>
      </c>
      <c r="B753" s="477">
        <v>0.4770833333333333</v>
      </c>
    </row>
    <row r="754" spans="1:2" hidden="1" x14ac:dyDescent="0.25">
      <c r="A754" s="475" t="s">
        <v>2147</v>
      </c>
      <c r="B754" s="477">
        <v>0.4770833333333333</v>
      </c>
    </row>
    <row r="755" spans="1:2" hidden="1" x14ac:dyDescent="0.25">
      <c r="A755" s="475" t="s">
        <v>2148</v>
      </c>
      <c r="B755" s="477">
        <v>0.4770833333333333</v>
      </c>
    </row>
    <row r="756" spans="1:2" hidden="1" x14ac:dyDescent="0.25">
      <c r="A756" s="475" t="s">
        <v>2149</v>
      </c>
      <c r="B756" s="477">
        <v>0.4770833333333333</v>
      </c>
    </row>
    <row r="757" spans="1:2" hidden="1" x14ac:dyDescent="0.25">
      <c r="A757" s="475" t="s">
        <v>2150</v>
      </c>
      <c r="B757" s="477">
        <v>0.47638888888888892</v>
      </c>
    </row>
    <row r="758" spans="1:2" hidden="1" x14ac:dyDescent="0.25">
      <c r="A758" s="475" t="s">
        <v>2151</v>
      </c>
      <c r="B758" s="477">
        <v>0.47638888888888892</v>
      </c>
    </row>
    <row r="759" spans="1:2" hidden="1" x14ac:dyDescent="0.25">
      <c r="A759" s="475" t="s">
        <v>2152</v>
      </c>
      <c r="B759" s="477">
        <v>0.4770833333333333</v>
      </c>
    </row>
    <row r="760" spans="1:2" hidden="1" x14ac:dyDescent="0.25">
      <c r="A760" s="475" t="s">
        <v>2153</v>
      </c>
      <c r="B760" s="477">
        <v>0.4770833333333333</v>
      </c>
    </row>
    <row r="761" spans="1:2" hidden="1" x14ac:dyDescent="0.25">
      <c r="A761" s="475" t="s">
        <v>2154</v>
      </c>
      <c r="B761" s="477">
        <v>0.4770833333333333</v>
      </c>
    </row>
    <row r="762" spans="1:2" hidden="1" x14ac:dyDescent="0.25">
      <c r="A762" s="475" t="s">
        <v>2155</v>
      </c>
      <c r="B762" s="477">
        <v>0.47638888888888892</v>
      </c>
    </row>
    <row r="763" spans="1:2" hidden="1" x14ac:dyDescent="0.25">
      <c r="A763" s="475" t="s">
        <v>2156</v>
      </c>
      <c r="B763" s="477">
        <v>0.4770833333333333</v>
      </c>
    </row>
    <row r="764" spans="1:2" hidden="1" x14ac:dyDescent="0.25">
      <c r="A764" s="475" t="s">
        <v>2157</v>
      </c>
      <c r="B764" s="477">
        <v>0.47638888888888892</v>
      </c>
    </row>
    <row r="765" spans="1:2" hidden="1" x14ac:dyDescent="0.25">
      <c r="A765" s="475" t="s">
        <v>2158</v>
      </c>
      <c r="B765" s="477">
        <v>0.47638888888888892</v>
      </c>
    </row>
    <row r="766" spans="1:2" hidden="1" x14ac:dyDescent="0.25">
      <c r="A766" s="475" t="s">
        <v>2159</v>
      </c>
      <c r="B766" s="477">
        <v>0.47638888888888892</v>
      </c>
    </row>
    <row r="767" spans="1:2" hidden="1" x14ac:dyDescent="0.25">
      <c r="A767" s="475" t="s">
        <v>2160</v>
      </c>
      <c r="B767" s="477">
        <v>0.4770833333333333</v>
      </c>
    </row>
    <row r="768" spans="1:2" hidden="1" x14ac:dyDescent="0.25">
      <c r="A768" s="475" t="s">
        <v>2161</v>
      </c>
      <c r="B768" s="477">
        <v>0.47638888888888892</v>
      </c>
    </row>
    <row r="769" spans="1:2" hidden="1" x14ac:dyDescent="0.25">
      <c r="A769" s="475" t="s">
        <v>2162</v>
      </c>
      <c r="B769" s="477">
        <v>0.47638888888888892</v>
      </c>
    </row>
    <row r="770" spans="1:2" hidden="1" x14ac:dyDescent="0.25">
      <c r="A770" s="475" t="s">
        <v>2163</v>
      </c>
      <c r="B770" s="477">
        <v>0.4770833333333333</v>
      </c>
    </row>
    <row r="771" spans="1:2" hidden="1" x14ac:dyDescent="0.25">
      <c r="A771" s="475" t="s">
        <v>2164</v>
      </c>
      <c r="B771" s="477">
        <v>0.4770833333333333</v>
      </c>
    </row>
    <row r="772" spans="1:2" hidden="1" x14ac:dyDescent="0.25">
      <c r="A772" s="475" t="s">
        <v>2165</v>
      </c>
      <c r="B772" s="477">
        <v>0.4770833333333333</v>
      </c>
    </row>
    <row r="773" spans="1:2" hidden="1" x14ac:dyDescent="0.25">
      <c r="A773" s="475" t="s">
        <v>2166</v>
      </c>
      <c r="B773" s="477">
        <v>0.47638888888888892</v>
      </c>
    </row>
    <row r="774" spans="1:2" hidden="1" x14ac:dyDescent="0.25">
      <c r="A774" s="475" t="s">
        <v>2167</v>
      </c>
      <c r="B774" s="477">
        <v>0.47638888888888892</v>
      </c>
    </row>
    <row r="775" spans="1:2" hidden="1" x14ac:dyDescent="0.25">
      <c r="A775" s="475" t="s">
        <v>2168</v>
      </c>
      <c r="B775" s="477">
        <v>0.47638888888888892</v>
      </c>
    </row>
    <row r="776" spans="1:2" hidden="1" x14ac:dyDescent="0.25">
      <c r="A776" s="475" t="s">
        <v>2169</v>
      </c>
      <c r="B776" s="477">
        <v>0.47638888888888892</v>
      </c>
    </row>
    <row r="777" spans="1:2" hidden="1" x14ac:dyDescent="0.25">
      <c r="A777" s="475" t="s">
        <v>2170</v>
      </c>
      <c r="B777" s="477">
        <v>0.4770833333333333</v>
      </c>
    </row>
    <row r="778" spans="1:2" hidden="1" x14ac:dyDescent="0.25">
      <c r="A778" s="475" t="s">
        <v>2171</v>
      </c>
      <c r="B778" s="477">
        <v>0.4770833333333333</v>
      </c>
    </row>
    <row r="779" spans="1:2" hidden="1" x14ac:dyDescent="0.25">
      <c r="A779" s="475" t="s">
        <v>2172</v>
      </c>
      <c r="B779" s="477">
        <v>0.4770833333333333</v>
      </c>
    </row>
    <row r="780" spans="1:2" hidden="1" x14ac:dyDescent="0.25">
      <c r="A780" s="475" t="s">
        <v>2173</v>
      </c>
      <c r="B780" s="477">
        <v>0.47638888888888892</v>
      </c>
    </row>
    <row r="781" spans="1:2" hidden="1" x14ac:dyDescent="0.25">
      <c r="A781" s="475" t="s">
        <v>2174</v>
      </c>
      <c r="B781" s="477">
        <v>0.4770833333333333</v>
      </c>
    </row>
    <row r="782" spans="1:2" hidden="1" x14ac:dyDescent="0.25">
      <c r="A782" s="475" t="s">
        <v>2175</v>
      </c>
      <c r="B782" s="477">
        <v>0.47638888888888892</v>
      </c>
    </row>
    <row r="783" spans="1:2" hidden="1" x14ac:dyDescent="0.25">
      <c r="A783" s="475" t="s">
        <v>2176</v>
      </c>
      <c r="B783" s="477">
        <v>0.4770833333333333</v>
      </c>
    </row>
    <row r="784" spans="1:2" hidden="1" x14ac:dyDescent="0.25">
      <c r="A784" s="475" t="s">
        <v>2177</v>
      </c>
      <c r="B784" s="477">
        <v>0.4770833333333333</v>
      </c>
    </row>
    <row r="785" spans="1:2" hidden="1" x14ac:dyDescent="0.25">
      <c r="A785" s="475" t="s">
        <v>2178</v>
      </c>
      <c r="B785" s="477">
        <v>0.4770833333333333</v>
      </c>
    </row>
    <row r="786" spans="1:2" hidden="1" x14ac:dyDescent="0.25">
      <c r="A786" s="475" t="s">
        <v>2179</v>
      </c>
      <c r="B786" s="477">
        <v>0.4770833333333333</v>
      </c>
    </row>
    <row r="787" spans="1:2" hidden="1" x14ac:dyDescent="0.25">
      <c r="A787" s="475" t="s">
        <v>2180</v>
      </c>
      <c r="B787" s="477">
        <v>0.47638888888888892</v>
      </c>
    </row>
    <row r="788" spans="1:2" hidden="1" x14ac:dyDescent="0.25">
      <c r="A788" s="475" t="s">
        <v>2181</v>
      </c>
      <c r="B788" s="477">
        <v>0.4777777777777778</v>
      </c>
    </row>
    <row r="789" spans="1:2" hidden="1" x14ac:dyDescent="0.25">
      <c r="A789" s="475" t="s">
        <v>2182</v>
      </c>
      <c r="B789" s="477">
        <v>0.47638888888888892</v>
      </c>
    </row>
    <row r="790" spans="1:2" hidden="1" x14ac:dyDescent="0.25">
      <c r="A790" s="475" t="s">
        <v>2183</v>
      </c>
      <c r="B790" s="477">
        <v>0.4770833333333333</v>
      </c>
    </row>
    <row r="791" spans="1:2" hidden="1" x14ac:dyDescent="0.25">
      <c r="A791" s="475" t="s">
        <v>2184</v>
      </c>
      <c r="B791" s="477">
        <v>0.4770833333333333</v>
      </c>
    </row>
    <row r="792" spans="1:2" hidden="1" x14ac:dyDescent="0.25">
      <c r="A792" s="475" t="s">
        <v>2185</v>
      </c>
      <c r="B792" s="477">
        <v>0.4770833333333333</v>
      </c>
    </row>
    <row r="793" spans="1:2" hidden="1" x14ac:dyDescent="0.25">
      <c r="A793" s="475" t="s">
        <v>2186</v>
      </c>
      <c r="B793" s="477">
        <v>0.47638888888888892</v>
      </c>
    </row>
    <row r="794" spans="1:2" hidden="1" x14ac:dyDescent="0.25">
      <c r="A794" s="475" t="s">
        <v>2187</v>
      </c>
      <c r="B794" s="477">
        <v>0.47638888888888892</v>
      </c>
    </row>
    <row r="795" spans="1:2" hidden="1" x14ac:dyDescent="0.25">
      <c r="A795" s="475" t="s">
        <v>2188</v>
      </c>
      <c r="B795" s="477">
        <v>0.47638888888888892</v>
      </c>
    </row>
    <row r="796" spans="1:2" hidden="1" x14ac:dyDescent="0.25">
      <c r="A796" s="475" t="s">
        <v>2189</v>
      </c>
      <c r="B796" s="477">
        <v>0.4770833333333333</v>
      </c>
    </row>
    <row r="797" spans="1:2" hidden="1" x14ac:dyDescent="0.25">
      <c r="A797" s="475" t="s">
        <v>2190</v>
      </c>
      <c r="B797" s="477">
        <v>0.4770833333333333</v>
      </c>
    </row>
    <row r="798" spans="1:2" hidden="1" x14ac:dyDescent="0.25">
      <c r="A798" s="475" t="s">
        <v>2191</v>
      </c>
      <c r="B798" s="477">
        <v>0.47638888888888892</v>
      </c>
    </row>
    <row r="799" spans="1:2" hidden="1" x14ac:dyDescent="0.25">
      <c r="A799" s="475" t="s">
        <v>2192</v>
      </c>
      <c r="B799" s="477">
        <v>0.47638888888888892</v>
      </c>
    </row>
    <row r="800" spans="1:2" hidden="1" x14ac:dyDescent="0.25">
      <c r="A800" s="475" t="s">
        <v>2193</v>
      </c>
      <c r="B800" s="477">
        <v>0.4777777777777778</v>
      </c>
    </row>
    <row r="801" spans="1:2" hidden="1" x14ac:dyDescent="0.25">
      <c r="A801" s="475" t="s">
        <v>2194</v>
      </c>
      <c r="B801" s="477">
        <v>0.4770833333333333</v>
      </c>
    </row>
    <row r="802" spans="1:2" hidden="1" x14ac:dyDescent="0.25">
      <c r="A802" s="475" t="s">
        <v>2195</v>
      </c>
      <c r="B802" s="477">
        <v>0.4770833333333333</v>
      </c>
    </row>
    <row r="803" spans="1:2" hidden="1" x14ac:dyDescent="0.25">
      <c r="A803" s="475" t="s">
        <v>2196</v>
      </c>
      <c r="B803" s="477">
        <v>0.4770833333333333</v>
      </c>
    </row>
    <row r="804" spans="1:2" hidden="1" x14ac:dyDescent="0.25">
      <c r="A804" s="475" t="s">
        <v>2197</v>
      </c>
      <c r="B804" s="477">
        <v>0.4770833333333333</v>
      </c>
    </row>
    <row r="805" spans="1:2" hidden="1" x14ac:dyDescent="0.25">
      <c r="A805" s="475" t="s">
        <v>2198</v>
      </c>
      <c r="B805" s="477">
        <v>0.4770833333333333</v>
      </c>
    </row>
    <row r="806" spans="1:2" hidden="1" x14ac:dyDescent="0.25">
      <c r="A806" s="475" t="s">
        <v>2199</v>
      </c>
      <c r="B806" s="477">
        <v>0.4770833333333333</v>
      </c>
    </row>
    <row r="807" spans="1:2" hidden="1" x14ac:dyDescent="0.25">
      <c r="A807" s="475" t="s">
        <v>2200</v>
      </c>
      <c r="B807" s="477">
        <v>0.4770833333333333</v>
      </c>
    </row>
    <row r="808" spans="1:2" hidden="1" x14ac:dyDescent="0.25">
      <c r="A808" s="475" t="s">
        <v>2201</v>
      </c>
      <c r="B808" s="477">
        <v>0.4770833333333333</v>
      </c>
    </row>
    <row r="809" spans="1:2" hidden="1" x14ac:dyDescent="0.25">
      <c r="A809" s="475" t="s">
        <v>2202</v>
      </c>
      <c r="B809" s="477">
        <v>0.47638888888888892</v>
      </c>
    </row>
    <row r="810" spans="1:2" hidden="1" x14ac:dyDescent="0.25">
      <c r="A810" s="475" t="s">
        <v>2203</v>
      </c>
      <c r="B810" s="477">
        <v>0.4770833333333333</v>
      </c>
    </row>
    <row r="811" spans="1:2" hidden="1" x14ac:dyDescent="0.25">
      <c r="A811" s="475" t="s">
        <v>2204</v>
      </c>
      <c r="B811" s="477">
        <v>0.47638888888888892</v>
      </c>
    </row>
    <row r="812" spans="1:2" hidden="1" x14ac:dyDescent="0.25">
      <c r="A812" s="475" t="s">
        <v>2205</v>
      </c>
      <c r="B812" s="477">
        <v>0.47638888888888892</v>
      </c>
    </row>
    <row r="813" spans="1:2" hidden="1" x14ac:dyDescent="0.25">
      <c r="A813" s="475" t="s">
        <v>2206</v>
      </c>
      <c r="B813" s="477">
        <v>0.47638888888888892</v>
      </c>
    </row>
    <row r="814" spans="1:2" hidden="1" x14ac:dyDescent="0.25">
      <c r="A814" s="475" t="s">
        <v>2207</v>
      </c>
      <c r="B814" s="477">
        <v>0.47638888888888892</v>
      </c>
    </row>
    <row r="815" spans="1:2" hidden="1" x14ac:dyDescent="0.25">
      <c r="A815" s="475" t="s">
        <v>2208</v>
      </c>
      <c r="B815" s="477">
        <v>0.47638888888888892</v>
      </c>
    </row>
    <row r="816" spans="1:2" hidden="1" x14ac:dyDescent="0.25">
      <c r="A816" s="475" t="s">
        <v>2209</v>
      </c>
      <c r="B816" s="477">
        <v>0.4770833333333333</v>
      </c>
    </row>
    <row r="817" spans="1:2" hidden="1" x14ac:dyDescent="0.25">
      <c r="A817" s="475" t="s">
        <v>2210</v>
      </c>
      <c r="B817" s="477">
        <v>0.47638888888888892</v>
      </c>
    </row>
    <row r="818" spans="1:2" hidden="1" x14ac:dyDescent="0.25">
      <c r="A818" s="475" t="s">
        <v>2211</v>
      </c>
      <c r="B818" s="477">
        <v>0.4770833333333333</v>
      </c>
    </row>
    <row r="819" spans="1:2" hidden="1" x14ac:dyDescent="0.25">
      <c r="A819" s="475" t="s">
        <v>2212</v>
      </c>
      <c r="B819" s="477">
        <v>0.4770833333333333</v>
      </c>
    </row>
    <row r="820" spans="1:2" hidden="1" x14ac:dyDescent="0.25">
      <c r="A820" s="475" t="s">
        <v>2213</v>
      </c>
      <c r="B820" s="477">
        <v>0.4770833333333333</v>
      </c>
    </row>
    <row r="821" spans="1:2" hidden="1" x14ac:dyDescent="0.25">
      <c r="A821" s="475" t="s">
        <v>2214</v>
      </c>
      <c r="B821" s="477">
        <v>0.47638888888888892</v>
      </c>
    </row>
    <row r="822" spans="1:2" hidden="1" x14ac:dyDescent="0.25">
      <c r="A822" s="475" t="s">
        <v>2215</v>
      </c>
      <c r="B822" s="477">
        <v>0.47638888888888892</v>
      </c>
    </row>
    <row r="823" spans="1:2" hidden="1" x14ac:dyDescent="0.25">
      <c r="A823" s="475" t="s">
        <v>2216</v>
      </c>
      <c r="B823" s="477">
        <v>0.4770833333333333</v>
      </c>
    </row>
    <row r="824" spans="1:2" hidden="1" x14ac:dyDescent="0.25">
      <c r="A824" s="475" t="s">
        <v>2217</v>
      </c>
      <c r="B824" s="477">
        <v>0.4770833333333333</v>
      </c>
    </row>
    <row r="825" spans="1:2" hidden="1" x14ac:dyDescent="0.25">
      <c r="A825" s="475" t="s">
        <v>2218</v>
      </c>
      <c r="B825" s="477">
        <v>0.4770833333333333</v>
      </c>
    </row>
    <row r="826" spans="1:2" hidden="1" x14ac:dyDescent="0.25">
      <c r="A826" s="475" t="s">
        <v>2219</v>
      </c>
      <c r="B826" s="477">
        <v>0.4770833333333333</v>
      </c>
    </row>
    <row r="827" spans="1:2" hidden="1" x14ac:dyDescent="0.25">
      <c r="A827" s="475" t="s">
        <v>2220</v>
      </c>
      <c r="B827" s="477">
        <v>0.4770833333333333</v>
      </c>
    </row>
    <row r="828" spans="1:2" hidden="1" x14ac:dyDescent="0.25">
      <c r="A828" s="475" t="s">
        <v>2221</v>
      </c>
      <c r="B828" s="477">
        <v>0.4770833333333333</v>
      </c>
    </row>
    <row r="829" spans="1:2" hidden="1" x14ac:dyDescent="0.25">
      <c r="A829" s="475" t="s">
        <v>2222</v>
      </c>
      <c r="B829" s="477">
        <v>0.4770833333333333</v>
      </c>
    </row>
    <row r="830" spans="1:2" hidden="1" x14ac:dyDescent="0.25">
      <c r="A830" s="475" t="s">
        <v>2223</v>
      </c>
      <c r="B830" s="477">
        <v>0.4770833333333333</v>
      </c>
    </row>
    <row r="831" spans="1:2" hidden="1" x14ac:dyDescent="0.25">
      <c r="A831" s="475" t="s">
        <v>2224</v>
      </c>
      <c r="B831" s="477">
        <v>0.4770833333333333</v>
      </c>
    </row>
    <row r="832" spans="1:2" hidden="1" x14ac:dyDescent="0.25">
      <c r="A832" s="475" t="s">
        <v>2225</v>
      </c>
      <c r="B832" s="477">
        <v>0.4770833333333333</v>
      </c>
    </row>
    <row r="833" spans="1:2" hidden="1" x14ac:dyDescent="0.25">
      <c r="A833" s="475" t="s">
        <v>2226</v>
      </c>
      <c r="B833" s="477">
        <v>0.4770833333333333</v>
      </c>
    </row>
    <row r="834" spans="1:2" hidden="1" x14ac:dyDescent="0.25">
      <c r="A834" s="475" t="s">
        <v>2227</v>
      </c>
      <c r="B834" s="477">
        <v>0.4770833333333333</v>
      </c>
    </row>
    <row r="835" spans="1:2" hidden="1" x14ac:dyDescent="0.25">
      <c r="A835" s="475" t="s">
        <v>2228</v>
      </c>
      <c r="B835" s="477">
        <v>0.4777777777777778</v>
      </c>
    </row>
    <row r="836" spans="1:2" hidden="1" x14ac:dyDescent="0.25">
      <c r="A836" s="475" t="s">
        <v>2229</v>
      </c>
      <c r="B836" s="477">
        <v>0.47638888888888892</v>
      </c>
    </row>
    <row r="837" spans="1:2" hidden="1" x14ac:dyDescent="0.25">
      <c r="A837" s="475" t="s">
        <v>2230</v>
      </c>
      <c r="B837" s="477">
        <v>0.4770833333333333</v>
      </c>
    </row>
    <row r="838" spans="1:2" hidden="1" x14ac:dyDescent="0.25">
      <c r="A838" s="475" t="s">
        <v>2231</v>
      </c>
      <c r="B838" s="477">
        <v>0.4770833333333333</v>
      </c>
    </row>
    <row r="839" spans="1:2" hidden="1" x14ac:dyDescent="0.25">
      <c r="A839" s="475" t="s">
        <v>2232</v>
      </c>
      <c r="B839" s="477">
        <v>0.4777777777777778</v>
      </c>
    </row>
    <row r="840" spans="1:2" hidden="1" x14ac:dyDescent="0.25">
      <c r="A840" s="475" t="s">
        <v>2233</v>
      </c>
      <c r="B840" s="477">
        <v>0.4770833333333333</v>
      </c>
    </row>
    <row r="841" spans="1:2" hidden="1" x14ac:dyDescent="0.25">
      <c r="A841" s="475" t="s">
        <v>2234</v>
      </c>
      <c r="B841" s="477">
        <v>0.4777777777777778</v>
      </c>
    </row>
    <row r="842" spans="1:2" hidden="1" x14ac:dyDescent="0.25">
      <c r="A842" s="475" t="s">
        <v>2235</v>
      </c>
      <c r="B842" s="477">
        <v>0.4770833333333333</v>
      </c>
    </row>
    <row r="843" spans="1:2" hidden="1" x14ac:dyDescent="0.25">
      <c r="A843" s="475" t="s">
        <v>2236</v>
      </c>
      <c r="B843" s="477">
        <v>0.4770833333333333</v>
      </c>
    </row>
    <row r="844" spans="1:2" hidden="1" x14ac:dyDescent="0.25">
      <c r="A844" s="475" t="s">
        <v>2237</v>
      </c>
      <c r="B844" s="477">
        <v>0.4770833333333333</v>
      </c>
    </row>
    <row r="845" spans="1:2" hidden="1" x14ac:dyDescent="0.25">
      <c r="A845" s="475" t="s">
        <v>2238</v>
      </c>
      <c r="B845" s="477">
        <v>0.4770833333333333</v>
      </c>
    </row>
    <row r="846" spans="1:2" hidden="1" x14ac:dyDescent="0.25">
      <c r="A846" s="475" t="s">
        <v>2239</v>
      </c>
      <c r="B846" s="477">
        <v>0.4770833333333333</v>
      </c>
    </row>
    <row r="847" spans="1:2" hidden="1" x14ac:dyDescent="0.25">
      <c r="A847" s="475" t="s">
        <v>2240</v>
      </c>
      <c r="B847" s="477">
        <v>0.47638888888888892</v>
      </c>
    </row>
    <row r="848" spans="1:2" hidden="1" x14ac:dyDescent="0.25">
      <c r="A848" s="475" t="s">
        <v>2241</v>
      </c>
      <c r="B848" s="477">
        <v>0.4770833333333333</v>
      </c>
    </row>
    <row r="849" spans="1:2" hidden="1" x14ac:dyDescent="0.25">
      <c r="A849" s="475" t="s">
        <v>2242</v>
      </c>
      <c r="B849" s="477">
        <v>0.47638888888888892</v>
      </c>
    </row>
    <row r="850" spans="1:2" hidden="1" x14ac:dyDescent="0.25">
      <c r="A850" s="475" t="s">
        <v>2243</v>
      </c>
      <c r="B850" s="477">
        <v>0.4770833333333333</v>
      </c>
    </row>
    <row r="851" spans="1:2" hidden="1" x14ac:dyDescent="0.25">
      <c r="A851" s="475" t="s">
        <v>2244</v>
      </c>
      <c r="B851" s="477">
        <v>0.4770833333333333</v>
      </c>
    </row>
    <row r="852" spans="1:2" hidden="1" x14ac:dyDescent="0.25">
      <c r="A852" s="475" t="s">
        <v>2245</v>
      </c>
      <c r="B852" s="477">
        <v>0.47638888888888892</v>
      </c>
    </row>
    <row r="853" spans="1:2" hidden="1" x14ac:dyDescent="0.25">
      <c r="A853" s="475" t="s">
        <v>2246</v>
      </c>
      <c r="B853" s="477">
        <v>0.47638888888888892</v>
      </c>
    </row>
    <row r="854" spans="1:2" hidden="1" x14ac:dyDescent="0.25">
      <c r="A854" s="475" t="s">
        <v>2247</v>
      </c>
      <c r="B854" s="477">
        <v>0.47638888888888892</v>
      </c>
    </row>
    <row r="855" spans="1:2" hidden="1" x14ac:dyDescent="0.25">
      <c r="A855" s="475" t="s">
        <v>2248</v>
      </c>
      <c r="B855" s="477">
        <v>0.47638888888888892</v>
      </c>
    </row>
    <row r="856" spans="1:2" hidden="1" x14ac:dyDescent="0.25">
      <c r="A856" s="475" t="s">
        <v>2249</v>
      </c>
      <c r="B856" s="477">
        <v>0.47569444444444442</v>
      </c>
    </row>
    <row r="857" spans="1:2" hidden="1" x14ac:dyDescent="0.25">
      <c r="A857" s="475" t="s">
        <v>2250</v>
      </c>
      <c r="B857" s="477">
        <v>0.47569444444444442</v>
      </c>
    </row>
    <row r="858" spans="1:2" hidden="1" x14ac:dyDescent="0.25">
      <c r="A858" s="475" t="s">
        <v>2251</v>
      </c>
      <c r="B858" s="477">
        <v>0.47569444444444442</v>
      </c>
    </row>
    <row r="859" spans="1:2" hidden="1" x14ac:dyDescent="0.25">
      <c r="A859" s="475" t="s">
        <v>2252</v>
      </c>
      <c r="B859" s="477">
        <v>0.47569444444444442</v>
      </c>
    </row>
    <row r="860" spans="1:2" hidden="1" x14ac:dyDescent="0.25">
      <c r="A860" s="475" t="s">
        <v>2253</v>
      </c>
      <c r="B860" s="477">
        <v>0.47638888888888892</v>
      </c>
    </row>
    <row r="861" spans="1:2" hidden="1" x14ac:dyDescent="0.25">
      <c r="A861" s="475" t="s">
        <v>2254</v>
      </c>
      <c r="B861" s="477">
        <v>0.47638888888888892</v>
      </c>
    </row>
    <row r="862" spans="1:2" hidden="1" x14ac:dyDescent="0.25">
      <c r="A862" s="475" t="s">
        <v>2255</v>
      </c>
      <c r="B862" s="477">
        <v>0.47638888888888892</v>
      </c>
    </row>
    <row r="863" spans="1:2" hidden="1" x14ac:dyDescent="0.25">
      <c r="A863" s="475" t="s">
        <v>2256</v>
      </c>
      <c r="B863" s="477">
        <v>0.47638888888888892</v>
      </c>
    </row>
    <row r="864" spans="1:2" hidden="1" x14ac:dyDescent="0.25">
      <c r="A864" s="475" t="s">
        <v>2257</v>
      </c>
      <c r="B864" s="477">
        <v>0.47638888888888892</v>
      </c>
    </row>
    <row r="865" spans="1:2" hidden="1" x14ac:dyDescent="0.25">
      <c r="A865" s="475" t="s">
        <v>2258</v>
      </c>
      <c r="B865" s="477">
        <v>0.47638888888888892</v>
      </c>
    </row>
    <row r="866" spans="1:2" hidden="1" x14ac:dyDescent="0.25">
      <c r="A866" s="475" t="s">
        <v>2259</v>
      </c>
      <c r="B866" s="477">
        <v>0.47569444444444442</v>
      </c>
    </row>
    <row r="867" spans="1:2" hidden="1" x14ac:dyDescent="0.25">
      <c r="A867" s="475" t="s">
        <v>2260</v>
      </c>
      <c r="B867" s="477">
        <v>0.47569444444444442</v>
      </c>
    </row>
    <row r="868" spans="1:2" hidden="1" x14ac:dyDescent="0.25">
      <c r="A868" s="475" t="s">
        <v>2261</v>
      </c>
      <c r="B868" s="477">
        <v>0.47638888888888892</v>
      </c>
    </row>
    <row r="869" spans="1:2" hidden="1" x14ac:dyDescent="0.25">
      <c r="A869" s="475" t="s">
        <v>2262</v>
      </c>
      <c r="B869" s="477">
        <v>0.47638888888888892</v>
      </c>
    </row>
    <row r="870" spans="1:2" hidden="1" x14ac:dyDescent="0.25">
      <c r="A870" s="475" t="s">
        <v>2263</v>
      </c>
      <c r="B870" s="477">
        <v>0.47569444444444442</v>
      </c>
    </row>
    <row r="871" spans="1:2" hidden="1" x14ac:dyDescent="0.25">
      <c r="A871" s="475" t="s">
        <v>2264</v>
      </c>
      <c r="B871" s="477">
        <v>0.47569444444444442</v>
      </c>
    </row>
    <row r="872" spans="1:2" hidden="1" x14ac:dyDescent="0.25">
      <c r="A872" s="475" t="s">
        <v>2265</v>
      </c>
      <c r="B872" s="477">
        <v>0.47638888888888892</v>
      </c>
    </row>
    <row r="873" spans="1:2" hidden="1" x14ac:dyDescent="0.25">
      <c r="A873" s="475" t="s">
        <v>2266</v>
      </c>
      <c r="B873" s="477">
        <v>0.47638888888888892</v>
      </c>
    </row>
    <row r="874" spans="1:2" hidden="1" x14ac:dyDescent="0.25">
      <c r="A874" s="475" t="s">
        <v>2267</v>
      </c>
      <c r="B874" s="477">
        <v>0.47638888888888892</v>
      </c>
    </row>
    <row r="875" spans="1:2" hidden="1" x14ac:dyDescent="0.25">
      <c r="A875" s="475" t="s">
        <v>2268</v>
      </c>
      <c r="B875" s="477">
        <v>0.47638888888888892</v>
      </c>
    </row>
    <row r="876" spans="1:2" hidden="1" x14ac:dyDescent="0.25">
      <c r="A876" s="475" t="s">
        <v>2269</v>
      </c>
      <c r="B876" s="477">
        <v>0.47638888888888892</v>
      </c>
    </row>
    <row r="877" spans="1:2" hidden="1" x14ac:dyDescent="0.25">
      <c r="A877" s="475" t="s">
        <v>2270</v>
      </c>
      <c r="B877" s="477">
        <v>0.47569444444444442</v>
      </c>
    </row>
    <row r="878" spans="1:2" hidden="1" x14ac:dyDescent="0.25">
      <c r="A878" s="475" t="s">
        <v>2271</v>
      </c>
      <c r="B878" s="477">
        <v>0.47638888888888892</v>
      </c>
    </row>
    <row r="879" spans="1:2" hidden="1" x14ac:dyDescent="0.25">
      <c r="A879" s="475" t="s">
        <v>2272</v>
      </c>
      <c r="B879" s="477">
        <v>0.47638888888888892</v>
      </c>
    </row>
    <row r="880" spans="1:2" hidden="1" x14ac:dyDescent="0.25">
      <c r="A880" s="475" t="s">
        <v>2273</v>
      </c>
      <c r="B880" s="477">
        <v>0.47638888888888892</v>
      </c>
    </row>
    <row r="881" spans="1:2" hidden="1" x14ac:dyDescent="0.25">
      <c r="A881" s="475" t="s">
        <v>2274</v>
      </c>
      <c r="B881" s="477">
        <v>0.47638888888888892</v>
      </c>
    </row>
    <row r="882" spans="1:2" hidden="1" x14ac:dyDescent="0.25">
      <c r="A882" s="475" t="s">
        <v>2275</v>
      </c>
      <c r="B882" s="477">
        <v>0.47638888888888892</v>
      </c>
    </row>
    <row r="883" spans="1:2" hidden="1" x14ac:dyDescent="0.25">
      <c r="A883" s="475" t="s">
        <v>2276</v>
      </c>
      <c r="B883" s="477">
        <v>0.47569444444444442</v>
      </c>
    </row>
    <row r="884" spans="1:2" hidden="1" x14ac:dyDescent="0.25">
      <c r="A884" s="475" t="s">
        <v>2277</v>
      </c>
      <c r="B884" s="477">
        <v>0.47638888888888892</v>
      </c>
    </row>
    <row r="885" spans="1:2" hidden="1" x14ac:dyDescent="0.25">
      <c r="A885" s="475" t="s">
        <v>2278</v>
      </c>
      <c r="B885" s="477">
        <v>0.47638888888888892</v>
      </c>
    </row>
    <row r="886" spans="1:2" hidden="1" x14ac:dyDescent="0.25">
      <c r="A886" s="475" t="s">
        <v>2279</v>
      </c>
      <c r="B886" s="477">
        <v>0.47638888888888892</v>
      </c>
    </row>
    <row r="887" spans="1:2" hidden="1" x14ac:dyDescent="0.25">
      <c r="A887" s="475" t="s">
        <v>2280</v>
      </c>
      <c r="B887" s="477">
        <v>0.47569444444444442</v>
      </c>
    </row>
    <row r="888" spans="1:2" hidden="1" x14ac:dyDescent="0.25">
      <c r="A888" s="475" t="s">
        <v>2281</v>
      </c>
      <c r="B888" s="477">
        <v>0.47569444444444442</v>
      </c>
    </row>
    <row r="889" spans="1:2" hidden="1" x14ac:dyDescent="0.25">
      <c r="A889" s="475" t="s">
        <v>2282</v>
      </c>
      <c r="B889" s="477">
        <v>0.47638888888888892</v>
      </c>
    </row>
    <row r="890" spans="1:2" hidden="1" x14ac:dyDescent="0.25">
      <c r="A890" s="475" t="s">
        <v>2283</v>
      </c>
      <c r="B890" s="477">
        <v>0.47569444444444442</v>
      </c>
    </row>
    <row r="891" spans="1:2" hidden="1" x14ac:dyDescent="0.25">
      <c r="A891" s="475" t="s">
        <v>2284</v>
      </c>
      <c r="B891" s="477">
        <v>0.47638888888888892</v>
      </c>
    </row>
    <row r="892" spans="1:2" hidden="1" x14ac:dyDescent="0.25">
      <c r="A892" s="475" t="s">
        <v>2285</v>
      </c>
      <c r="B892" s="477">
        <v>0.47569444444444442</v>
      </c>
    </row>
    <row r="893" spans="1:2" hidden="1" x14ac:dyDescent="0.25">
      <c r="A893" s="475" t="s">
        <v>2286</v>
      </c>
      <c r="B893" s="477">
        <v>0.47569444444444442</v>
      </c>
    </row>
    <row r="894" spans="1:2" hidden="1" x14ac:dyDescent="0.25">
      <c r="A894" s="475" t="s">
        <v>2287</v>
      </c>
      <c r="B894" s="477">
        <v>0.47569444444444442</v>
      </c>
    </row>
    <row r="895" spans="1:2" hidden="1" x14ac:dyDescent="0.25">
      <c r="A895" s="475" t="s">
        <v>2288</v>
      </c>
      <c r="B895" s="477">
        <v>0.47569444444444442</v>
      </c>
    </row>
    <row r="896" spans="1:2" hidden="1" x14ac:dyDescent="0.25">
      <c r="A896" s="475" t="s">
        <v>2289</v>
      </c>
      <c r="B896" s="477">
        <v>0.47569444444444442</v>
      </c>
    </row>
    <row r="897" spans="1:2" hidden="1" x14ac:dyDescent="0.25">
      <c r="A897" s="475" t="s">
        <v>2290</v>
      </c>
      <c r="B897" s="477">
        <v>0.47638888888888892</v>
      </c>
    </row>
    <row r="898" spans="1:2" hidden="1" x14ac:dyDescent="0.25">
      <c r="A898" s="475" t="s">
        <v>2291</v>
      </c>
      <c r="B898" s="477">
        <v>0.47569444444444442</v>
      </c>
    </row>
    <row r="899" spans="1:2" hidden="1" x14ac:dyDescent="0.25">
      <c r="A899" s="475" t="s">
        <v>2292</v>
      </c>
      <c r="B899" s="477">
        <v>0.47638888888888892</v>
      </c>
    </row>
    <row r="900" spans="1:2" hidden="1" x14ac:dyDescent="0.25">
      <c r="A900" s="475" t="s">
        <v>2293</v>
      </c>
      <c r="B900" s="477">
        <v>0.47569444444444442</v>
      </c>
    </row>
    <row r="901" spans="1:2" hidden="1" x14ac:dyDescent="0.25">
      <c r="A901" s="475" t="s">
        <v>2294</v>
      </c>
      <c r="B901" s="477">
        <v>0.47638888888888892</v>
      </c>
    </row>
    <row r="902" spans="1:2" hidden="1" x14ac:dyDescent="0.25">
      <c r="A902" s="475" t="s">
        <v>2295</v>
      </c>
      <c r="B902" s="477">
        <v>0.47638888888888892</v>
      </c>
    </row>
    <row r="903" spans="1:2" hidden="1" x14ac:dyDescent="0.25">
      <c r="A903" s="475" t="s">
        <v>2296</v>
      </c>
      <c r="B903" s="477">
        <v>0.47569444444444442</v>
      </c>
    </row>
    <row r="904" spans="1:2" hidden="1" x14ac:dyDescent="0.25">
      <c r="A904" s="475" t="s">
        <v>2297</v>
      </c>
      <c r="B904" s="477">
        <v>0.47638888888888892</v>
      </c>
    </row>
    <row r="905" spans="1:2" hidden="1" x14ac:dyDescent="0.25">
      <c r="A905" s="475" t="s">
        <v>2298</v>
      </c>
      <c r="B905" s="477">
        <v>0.47638888888888892</v>
      </c>
    </row>
    <row r="906" spans="1:2" hidden="1" x14ac:dyDescent="0.25">
      <c r="A906" s="475" t="s">
        <v>2299</v>
      </c>
      <c r="B906" s="477">
        <v>0.47638888888888892</v>
      </c>
    </row>
    <row r="907" spans="1:2" hidden="1" x14ac:dyDescent="0.25">
      <c r="A907" s="475" t="s">
        <v>2300</v>
      </c>
      <c r="B907" s="477">
        <v>0.47638888888888892</v>
      </c>
    </row>
    <row r="908" spans="1:2" hidden="1" x14ac:dyDescent="0.25">
      <c r="A908" s="475" t="s">
        <v>2301</v>
      </c>
      <c r="B908" s="477">
        <v>0.47638888888888892</v>
      </c>
    </row>
    <row r="909" spans="1:2" hidden="1" x14ac:dyDescent="0.25">
      <c r="A909" s="475" t="s">
        <v>2302</v>
      </c>
      <c r="B909" s="477">
        <v>0.47569444444444442</v>
      </c>
    </row>
    <row r="910" spans="1:2" hidden="1" x14ac:dyDescent="0.25">
      <c r="A910" s="475" t="s">
        <v>2303</v>
      </c>
      <c r="B910" s="477">
        <v>0.47569444444444442</v>
      </c>
    </row>
    <row r="911" spans="1:2" hidden="1" x14ac:dyDescent="0.25">
      <c r="A911" s="475" t="s">
        <v>2304</v>
      </c>
      <c r="B911" s="477">
        <v>0.47569444444444442</v>
      </c>
    </row>
    <row r="912" spans="1:2" hidden="1" x14ac:dyDescent="0.25">
      <c r="A912" s="475" t="s">
        <v>2305</v>
      </c>
      <c r="B912" s="477">
        <v>0.47569444444444442</v>
      </c>
    </row>
    <row r="913" spans="1:2" hidden="1" x14ac:dyDescent="0.25">
      <c r="A913" s="475" t="s">
        <v>2306</v>
      </c>
      <c r="B913" s="477">
        <v>0.47569444444444442</v>
      </c>
    </row>
    <row r="914" spans="1:2" hidden="1" x14ac:dyDescent="0.25">
      <c r="A914" s="475" t="s">
        <v>2307</v>
      </c>
      <c r="B914" s="477">
        <v>0.47569444444444442</v>
      </c>
    </row>
    <row r="915" spans="1:2" hidden="1" x14ac:dyDescent="0.25">
      <c r="A915" s="475" t="s">
        <v>2308</v>
      </c>
      <c r="B915" s="477">
        <v>0.47569444444444442</v>
      </c>
    </row>
    <row r="916" spans="1:2" hidden="1" x14ac:dyDescent="0.25">
      <c r="A916" s="475" t="s">
        <v>2309</v>
      </c>
      <c r="B916" s="477">
        <v>0.47638888888888892</v>
      </c>
    </row>
    <row r="917" spans="1:2" hidden="1" x14ac:dyDescent="0.25">
      <c r="A917" s="475" t="s">
        <v>2310</v>
      </c>
      <c r="B917" s="477">
        <v>0.47569444444444442</v>
      </c>
    </row>
    <row r="918" spans="1:2" hidden="1" x14ac:dyDescent="0.25">
      <c r="A918" s="475" t="s">
        <v>2311</v>
      </c>
      <c r="B918" s="477">
        <v>0.47569444444444442</v>
      </c>
    </row>
    <row r="919" spans="1:2" hidden="1" x14ac:dyDescent="0.25">
      <c r="A919" s="475" t="s">
        <v>2312</v>
      </c>
      <c r="B919" s="477">
        <v>0.47569444444444442</v>
      </c>
    </row>
    <row r="920" spans="1:2" hidden="1" x14ac:dyDescent="0.25">
      <c r="A920" s="475" t="s">
        <v>2313</v>
      </c>
      <c r="B920" s="477">
        <v>0.47569444444444442</v>
      </c>
    </row>
    <row r="921" spans="1:2" hidden="1" x14ac:dyDescent="0.25">
      <c r="A921" s="475" t="s">
        <v>2314</v>
      </c>
      <c r="B921" s="477">
        <v>0.47569444444444442</v>
      </c>
    </row>
    <row r="922" spans="1:2" hidden="1" x14ac:dyDescent="0.25">
      <c r="A922" s="475" t="s">
        <v>2315</v>
      </c>
      <c r="B922" s="477">
        <v>0.47569444444444442</v>
      </c>
    </row>
    <row r="923" spans="1:2" hidden="1" x14ac:dyDescent="0.25">
      <c r="A923" s="475" t="s">
        <v>2316</v>
      </c>
      <c r="B923" s="477">
        <v>0.47638888888888892</v>
      </c>
    </row>
    <row r="924" spans="1:2" hidden="1" x14ac:dyDescent="0.25">
      <c r="A924" s="475" t="s">
        <v>2317</v>
      </c>
      <c r="B924" s="477">
        <v>0.47569444444444442</v>
      </c>
    </row>
    <row r="925" spans="1:2" hidden="1" x14ac:dyDescent="0.25">
      <c r="A925" s="475" t="s">
        <v>2318</v>
      </c>
      <c r="B925" s="477">
        <v>0.47569444444444442</v>
      </c>
    </row>
    <row r="926" spans="1:2" hidden="1" x14ac:dyDescent="0.25">
      <c r="A926" s="475" t="s">
        <v>2319</v>
      </c>
      <c r="B926" s="477">
        <v>0.47569444444444442</v>
      </c>
    </row>
    <row r="927" spans="1:2" hidden="1" x14ac:dyDescent="0.25">
      <c r="A927" s="475" t="s">
        <v>2320</v>
      </c>
      <c r="B927" s="477">
        <v>0.47638888888888892</v>
      </c>
    </row>
    <row r="928" spans="1:2" hidden="1" x14ac:dyDescent="0.25">
      <c r="A928" s="475" t="s">
        <v>2321</v>
      </c>
      <c r="B928" s="477">
        <v>0.47569444444444442</v>
      </c>
    </row>
    <row r="929" spans="1:2" hidden="1" x14ac:dyDescent="0.25">
      <c r="A929" s="475" t="s">
        <v>2322</v>
      </c>
      <c r="B929" s="477">
        <v>0.47569444444444442</v>
      </c>
    </row>
    <row r="930" spans="1:2" hidden="1" x14ac:dyDescent="0.25">
      <c r="A930" s="475" t="s">
        <v>2323</v>
      </c>
      <c r="B930" s="477">
        <v>0.47569444444444442</v>
      </c>
    </row>
    <row r="931" spans="1:2" hidden="1" x14ac:dyDescent="0.25">
      <c r="A931" s="475" t="s">
        <v>2324</v>
      </c>
      <c r="B931" s="477">
        <v>0.47638888888888892</v>
      </c>
    </row>
    <row r="932" spans="1:2" hidden="1" x14ac:dyDescent="0.25">
      <c r="A932" s="475" t="s">
        <v>2325</v>
      </c>
      <c r="B932" s="477">
        <v>0.47638888888888892</v>
      </c>
    </row>
    <row r="933" spans="1:2" hidden="1" x14ac:dyDescent="0.25">
      <c r="A933" s="475" t="s">
        <v>2326</v>
      </c>
      <c r="B933" s="477">
        <v>0.47569444444444442</v>
      </c>
    </row>
    <row r="934" spans="1:2" hidden="1" x14ac:dyDescent="0.25">
      <c r="A934" s="475" t="s">
        <v>2327</v>
      </c>
      <c r="B934" s="477">
        <v>0.47569444444444442</v>
      </c>
    </row>
    <row r="935" spans="1:2" hidden="1" x14ac:dyDescent="0.25">
      <c r="A935" s="475" t="s">
        <v>2328</v>
      </c>
      <c r="B935" s="477">
        <v>0.47638888888888892</v>
      </c>
    </row>
    <row r="936" spans="1:2" hidden="1" x14ac:dyDescent="0.25">
      <c r="A936" s="475" t="s">
        <v>2329</v>
      </c>
      <c r="B936" s="477">
        <v>0.47638888888888892</v>
      </c>
    </row>
    <row r="937" spans="1:2" hidden="1" x14ac:dyDescent="0.25">
      <c r="A937" s="475" t="s">
        <v>2330</v>
      </c>
      <c r="B937" s="477">
        <v>0.47638888888888892</v>
      </c>
    </row>
    <row r="938" spans="1:2" hidden="1" x14ac:dyDescent="0.25">
      <c r="A938" s="475" t="s">
        <v>2331</v>
      </c>
      <c r="B938" s="477">
        <v>0.47569444444444442</v>
      </c>
    </row>
    <row r="939" spans="1:2" hidden="1" x14ac:dyDescent="0.25">
      <c r="A939" s="475" t="s">
        <v>2332</v>
      </c>
      <c r="B939" s="477">
        <v>0.47569444444444442</v>
      </c>
    </row>
    <row r="940" spans="1:2" hidden="1" x14ac:dyDescent="0.25">
      <c r="A940" s="475" t="s">
        <v>2333</v>
      </c>
      <c r="B940" s="477">
        <v>0.47638888888888892</v>
      </c>
    </row>
    <row r="941" spans="1:2" hidden="1" x14ac:dyDescent="0.25">
      <c r="A941" s="475" t="s">
        <v>2334</v>
      </c>
      <c r="B941" s="477">
        <v>0.47569444444444442</v>
      </c>
    </row>
    <row r="942" spans="1:2" hidden="1" x14ac:dyDescent="0.25">
      <c r="A942" s="475" t="s">
        <v>2335</v>
      </c>
      <c r="B942" s="477">
        <v>0.47569444444444442</v>
      </c>
    </row>
    <row r="943" spans="1:2" hidden="1" x14ac:dyDescent="0.25">
      <c r="A943" s="475" t="s">
        <v>2336</v>
      </c>
      <c r="B943" s="477">
        <v>0.47638888888888892</v>
      </c>
    </row>
    <row r="944" spans="1:2" hidden="1" x14ac:dyDescent="0.25">
      <c r="A944" s="475" t="s">
        <v>2337</v>
      </c>
      <c r="B944" s="477">
        <v>0.47569444444444442</v>
      </c>
    </row>
    <row r="945" spans="1:2" hidden="1" x14ac:dyDescent="0.25">
      <c r="A945" s="475" t="s">
        <v>2338</v>
      </c>
      <c r="B945" s="477">
        <v>0.47569444444444442</v>
      </c>
    </row>
    <row r="946" spans="1:2" hidden="1" x14ac:dyDescent="0.25">
      <c r="A946" s="475" t="s">
        <v>2339</v>
      </c>
      <c r="B946" s="477">
        <v>0.47638888888888892</v>
      </c>
    </row>
    <row r="947" spans="1:2" hidden="1" x14ac:dyDescent="0.25">
      <c r="A947" s="475" t="s">
        <v>2340</v>
      </c>
      <c r="B947" s="477">
        <v>0.47638888888888892</v>
      </c>
    </row>
    <row r="948" spans="1:2" hidden="1" x14ac:dyDescent="0.25">
      <c r="A948" s="475" t="s">
        <v>2341</v>
      </c>
      <c r="B948" s="477">
        <v>0.47638888888888892</v>
      </c>
    </row>
    <row r="949" spans="1:2" hidden="1" x14ac:dyDescent="0.25">
      <c r="A949" s="475" t="s">
        <v>2342</v>
      </c>
      <c r="B949" s="477">
        <v>0.47569444444444442</v>
      </c>
    </row>
    <row r="950" spans="1:2" hidden="1" x14ac:dyDescent="0.25">
      <c r="A950" s="475" t="s">
        <v>2343</v>
      </c>
      <c r="B950" s="477">
        <v>0.47638888888888892</v>
      </c>
    </row>
    <row r="951" spans="1:2" hidden="1" x14ac:dyDescent="0.25">
      <c r="A951" s="475" t="s">
        <v>2344</v>
      </c>
      <c r="B951" s="477">
        <v>0.47638888888888892</v>
      </c>
    </row>
    <row r="952" spans="1:2" hidden="1" x14ac:dyDescent="0.25">
      <c r="A952" s="475" t="s">
        <v>2345</v>
      </c>
      <c r="B952" s="477">
        <v>0.47569444444444442</v>
      </c>
    </row>
    <row r="953" spans="1:2" hidden="1" x14ac:dyDescent="0.25">
      <c r="A953" s="475" t="s">
        <v>2346</v>
      </c>
      <c r="B953" s="477">
        <v>0.47569444444444442</v>
      </c>
    </row>
    <row r="954" spans="1:2" hidden="1" x14ac:dyDescent="0.25">
      <c r="A954" s="475" t="s">
        <v>2347</v>
      </c>
      <c r="B954" s="477">
        <v>0.47569444444444442</v>
      </c>
    </row>
    <row r="955" spans="1:2" hidden="1" x14ac:dyDescent="0.25">
      <c r="A955" s="475" t="s">
        <v>2348</v>
      </c>
      <c r="B955" s="477">
        <v>0.47638888888888892</v>
      </c>
    </row>
    <row r="956" spans="1:2" hidden="1" x14ac:dyDescent="0.25">
      <c r="A956" s="475" t="s">
        <v>2349</v>
      </c>
      <c r="B956" s="477">
        <v>0.47638888888888892</v>
      </c>
    </row>
    <row r="957" spans="1:2" hidden="1" x14ac:dyDescent="0.25">
      <c r="A957" s="475" t="s">
        <v>2350</v>
      </c>
      <c r="B957" s="477">
        <v>0.47569444444444442</v>
      </c>
    </row>
    <row r="958" spans="1:2" hidden="1" x14ac:dyDescent="0.25">
      <c r="A958" s="475" t="s">
        <v>2351</v>
      </c>
      <c r="B958" s="477">
        <v>0.47569444444444442</v>
      </c>
    </row>
    <row r="959" spans="1:2" hidden="1" x14ac:dyDescent="0.25">
      <c r="A959" s="475" t="s">
        <v>2352</v>
      </c>
      <c r="B959" s="477">
        <v>0.47638888888888892</v>
      </c>
    </row>
    <row r="960" spans="1:2" hidden="1" x14ac:dyDescent="0.25">
      <c r="A960" s="475" t="s">
        <v>2353</v>
      </c>
      <c r="B960" s="477">
        <v>0.47569444444444442</v>
      </c>
    </row>
    <row r="961" spans="1:2" hidden="1" x14ac:dyDescent="0.25">
      <c r="A961" s="475" t="s">
        <v>2354</v>
      </c>
      <c r="B961" s="477">
        <v>0.47638888888888892</v>
      </c>
    </row>
    <row r="962" spans="1:2" hidden="1" x14ac:dyDescent="0.25">
      <c r="A962" s="475" t="s">
        <v>2355</v>
      </c>
      <c r="B962" s="477">
        <v>0.47569444444444442</v>
      </c>
    </row>
    <row r="963" spans="1:2" hidden="1" x14ac:dyDescent="0.25">
      <c r="A963" s="475" t="s">
        <v>2356</v>
      </c>
      <c r="B963" s="477">
        <v>0.47638888888888892</v>
      </c>
    </row>
    <row r="964" spans="1:2" hidden="1" x14ac:dyDescent="0.25">
      <c r="A964" s="475" t="s">
        <v>2357</v>
      </c>
      <c r="B964" s="477">
        <v>0.47638888888888892</v>
      </c>
    </row>
    <row r="965" spans="1:2" hidden="1" x14ac:dyDescent="0.25">
      <c r="A965" s="475" t="s">
        <v>2358</v>
      </c>
      <c r="B965" s="477">
        <v>0.47569444444444442</v>
      </c>
    </row>
    <row r="966" spans="1:2" hidden="1" x14ac:dyDescent="0.25">
      <c r="A966" s="475" t="s">
        <v>2359</v>
      </c>
      <c r="B966" s="477">
        <v>0.47638888888888892</v>
      </c>
    </row>
    <row r="967" spans="1:2" hidden="1" x14ac:dyDescent="0.25">
      <c r="A967" s="475" t="s">
        <v>2360</v>
      </c>
      <c r="B967" s="477">
        <v>0.47569444444444442</v>
      </c>
    </row>
    <row r="968" spans="1:2" hidden="1" x14ac:dyDescent="0.25">
      <c r="A968" s="475" t="s">
        <v>2361</v>
      </c>
      <c r="B968" s="477">
        <v>0.47638888888888892</v>
      </c>
    </row>
    <row r="969" spans="1:2" hidden="1" x14ac:dyDescent="0.25">
      <c r="A969" s="475" t="s">
        <v>2362</v>
      </c>
      <c r="B969" s="477">
        <v>0.47569444444444442</v>
      </c>
    </row>
    <row r="970" spans="1:2" hidden="1" x14ac:dyDescent="0.25">
      <c r="A970" s="475" t="s">
        <v>2363</v>
      </c>
      <c r="B970" s="477">
        <v>0.47638888888888892</v>
      </c>
    </row>
    <row r="971" spans="1:2" hidden="1" x14ac:dyDescent="0.25">
      <c r="A971" s="475" t="s">
        <v>2364</v>
      </c>
      <c r="B971" s="477">
        <v>0.47638888888888892</v>
      </c>
    </row>
    <row r="972" spans="1:2" hidden="1" x14ac:dyDescent="0.25">
      <c r="A972" s="475" t="s">
        <v>2365</v>
      </c>
      <c r="B972" s="477">
        <v>0.47638888888888892</v>
      </c>
    </row>
    <row r="973" spans="1:2" hidden="1" x14ac:dyDescent="0.25">
      <c r="A973" s="475" t="s">
        <v>2366</v>
      </c>
      <c r="B973" s="477">
        <v>0.47638888888888892</v>
      </c>
    </row>
    <row r="974" spans="1:2" hidden="1" x14ac:dyDescent="0.25">
      <c r="A974" s="475" t="s">
        <v>2367</v>
      </c>
      <c r="B974" s="477">
        <v>0.47638888888888892</v>
      </c>
    </row>
    <row r="975" spans="1:2" hidden="1" x14ac:dyDescent="0.25">
      <c r="A975" s="475" t="s">
        <v>2368</v>
      </c>
      <c r="B975" s="477">
        <v>0.47569444444444442</v>
      </c>
    </row>
    <row r="976" spans="1:2" hidden="1" x14ac:dyDescent="0.25">
      <c r="A976" s="475" t="s">
        <v>2369</v>
      </c>
      <c r="B976" s="477">
        <v>0.47569444444444442</v>
      </c>
    </row>
    <row r="977" spans="1:2" hidden="1" x14ac:dyDescent="0.25">
      <c r="A977" s="475" t="s">
        <v>2370</v>
      </c>
      <c r="B977" s="477">
        <v>0.47638888888888892</v>
      </c>
    </row>
    <row r="978" spans="1:2" hidden="1" x14ac:dyDescent="0.25">
      <c r="A978" s="475" t="s">
        <v>2371</v>
      </c>
      <c r="B978" s="477">
        <v>0.47569444444444442</v>
      </c>
    </row>
    <row r="979" spans="1:2" hidden="1" x14ac:dyDescent="0.25">
      <c r="A979" s="475" t="s">
        <v>2372</v>
      </c>
      <c r="B979" s="477">
        <v>0.47569444444444442</v>
      </c>
    </row>
    <row r="980" spans="1:2" hidden="1" x14ac:dyDescent="0.25">
      <c r="A980" s="475" t="s">
        <v>2373</v>
      </c>
      <c r="B980" s="477">
        <v>0.47638888888888892</v>
      </c>
    </row>
    <row r="981" spans="1:2" hidden="1" x14ac:dyDescent="0.25">
      <c r="A981" s="475" t="s">
        <v>2374</v>
      </c>
      <c r="B981" s="477">
        <v>0.47638888888888892</v>
      </c>
    </row>
    <row r="982" spans="1:2" hidden="1" x14ac:dyDescent="0.25">
      <c r="A982" s="475" t="s">
        <v>2375</v>
      </c>
      <c r="B982" s="477">
        <v>0.47569444444444442</v>
      </c>
    </row>
    <row r="983" spans="1:2" hidden="1" x14ac:dyDescent="0.25">
      <c r="A983" s="475" t="s">
        <v>2376</v>
      </c>
      <c r="B983" s="477">
        <v>0.47638888888888892</v>
      </c>
    </row>
    <row r="984" spans="1:2" hidden="1" x14ac:dyDescent="0.25">
      <c r="A984" s="475" t="s">
        <v>2377</v>
      </c>
      <c r="B984" s="477">
        <v>0.47638888888888892</v>
      </c>
    </row>
    <row r="985" spans="1:2" hidden="1" x14ac:dyDescent="0.25">
      <c r="A985" s="475" t="s">
        <v>2378</v>
      </c>
      <c r="B985" s="477">
        <v>0.47638888888888892</v>
      </c>
    </row>
    <row r="986" spans="1:2" hidden="1" x14ac:dyDescent="0.25">
      <c r="A986" s="475" t="s">
        <v>2379</v>
      </c>
      <c r="B986" s="477">
        <v>0.47569444444444442</v>
      </c>
    </row>
    <row r="987" spans="1:2" hidden="1" x14ac:dyDescent="0.25">
      <c r="A987" s="475" t="s">
        <v>2380</v>
      </c>
      <c r="B987" s="477">
        <v>0.47638888888888892</v>
      </c>
    </row>
    <row r="988" spans="1:2" hidden="1" x14ac:dyDescent="0.25">
      <c r="A988" s="475" t="s">
        <v>2381</v>
      </c>
      <c r="B988" s="477">
        <v>0.47638888888888892</v>
      </c>
    </row>
    <row r="989" spans="1:2" hidden="1" x14ac:dyDescent="0.25">
      <c r="A989" s="475" t="s">
        <v>2382</v>
      </c>
      <c r="B989" s="477">
        <v>0.47638888888888892</v>
      </c>
    </row>
    <row r="990" spans="1:2" hidden="1" x14ac:dyDescent="0.25">
      <c r="A990" s="475" t="s">
        <v>2383</v>
      </c>
      <c r="B990" s="477">
        <v>0.47569444444444442</v>
      </c>
    </row>
    <row r="991" spans="1:2" hidden="1" x14ac:dyDescent="0.25">
      <c r="A991" s="475" t="s">
        <v>2384</v>
      </c>
      <c r="B991" s="477">
        <v>0.47569444444444442</v>
      </c>
    </row>
    <row r="992" spans="1:2" hidden="1" x14ac:dyDescent="0.25">
      <c r="A992" s="475" t="s">
        <v>2385</v>
      </c>
      <c r="B992" s="477">
        <v>0.47569444444444442</v>
      </c>
    </row>
    <row r="993" spans="1:2" hidden="1" x14ac:dyDescent="0.25">
      <c r="A993" s="475" t="s">
        <v>2386</v>
      </c>
      <c r="B993" s="477">
        <v>0.47569444444444442</v>
      </c>
    </row>
    <row r="994" spans="1:2" hidden="1" x14ac:dyDescent="0.25">
      <c r="A994" s="475" t="s">
        <v>2387</v>
      </c>
      <c r="B994" s="477">
        <v>0.47569444444444442</v>
      </c>
    </row>
    <row r="995" spans="1:2" hidden="1" x14ac:dyDescent="0.25">
      <c r="A995" s="475" t="s">
        <v>2388</v>
      </c>
      <c r="B995" s="477">
        <v>0.47638888888888892</v>
      </c>
    </row>
    <row r="996" spans="1:2" hidden="1" x14ac:dyDescent="0.25">
      <c r="A996" s="475" t="s">
        <v>2389</v>
      </c>
      <c r="B996" s="477">
        <v>0.47569444444444442</v>
      </c>
    </row>
    <row r="997" spans="1:2" hidden="1" x14ac:dyDescent="0.25">
      <c r="A997" s="475" t="s">
        <v>2390</v>
      </c>
      <c r="B997" s="477">
        <v>0.47638888888888892</v>
      </c>
    </row>
    <row r="998" spans="1:2" hidden="1" x14ac:dyDescent="0.25">
      <c r="A998" s="475" t="s">
        <v>2391</v>
      </c>
      <c r="B998" s="477">
        <v>0.47638888888888892</v>
      </c>
    </row>
    <row r="999" spans="1:2" hidden="1" x14ac:dyDescent="0.25">
      <c r="A999" s="475" t="s">
        <v>2392</v>
      </c>
      <c r="B999" s="477">
        <v>0.47638888888888892</v>
      </c>
    </row>
    <row r="1000" spans="1:2" hidden="1" x14ac:dyDescent="0.25">
      <c r="A1000" s="475" t="s">
        <v>2393</v>
      </c>
      <c r="B1000" s="477">
        <v>0.47569444444444442</v>
      </c>
    </row>
    <row r="1001" spans="1:2" hidden="1" x14ac:dyDescent="0.25">
      <c r="A1001" s="475" t="s">
        <v>2394</v>
      </c>
      <c r="B1001" s="477">
        <v>0.47638888888888892</v>
      </c>
    </row>
    <row r="1002" spans="1:2" hidden="1" x14ac:dyDescent="0.25">
      <c r="A1002" s="475" t="s">
        <v>2395</v>
      </c>
      <c r="B1002" s="477">
        <v>0.47569444444444442</v>
      </c>
    </row>
    <row r="1003" spans="1:2" hidden="1" x14ac:dyDescent="0.25">
      <c r="A1003" s="475" t="s">
        <v>2396</v>
      </c>
      <c r="B1003" s="477">
        <v>0.47569444444444442</v>
      </c>
    </row>
    <row r="1004" spans="1:2" hidden="1" x14ac:dyDescent="0.25">
      <c r="A1004" s="475" t="s">
        <v>2397</v>
      </c>
      <c r="B1004" s="477">
        <v>0.47638888888888892</v>
      </c>
    </row>
    <row r="1005" spans="1:2" hidden="1" x14ac:dyDescent="0.25">
      <c r="A1005" s="475" t="s">
        <v>2398</v>
      </c>
      <c r="B1005" s="477">
        <v>0.47638888888888892</v>
      </c>
    </row>
    <row r="1006" spans="1:2" hidden="1" x14ac:dyDescent="0.25">
      <c r="A1006" s="475" t="s">
        <v>2399</v>
      </c>
      <c r="B1006" s="477">
        <v>0.47569444444444442</v>
      </c>
    </row>
    <row r="1007" spans="1:2" hidden="1" x14ac:dyDescent="0.25">
      <c r="A1007" s="475" t="s">
        <v>2400</v>
      </c>
      <c r="B1007" s="477">
        <v>0.47638888888888892</v>
      </c>
    </row>
    <row r="1008" spans="1:2" hidden="1" x14ac:dyDescent="0.25">
      <c r="A1008" s="475" t="s">
        <v>2401</v>
      </c>
      <c r="B1008" s="477">
        <v>0.47638888888888892</v>
      </c>
    </row>
    <row r="1009" spans="1:2" hidden="1" x14ac:dyDescent="0.25">
      <c r="A1009" s="475" t="s">
        <v>2402</v>
      </c>
      <c r="B1009" s="477">
        <v>0.47569444444444442</v>
      </c>
    </row>
    <row r="1010" spans="1:2" hidden="1" x14ac:dyDescent="0.25">
      <c r="A1010" s="475" t="s">
        <v>2403</v>
      </c>
      <c r="B1010" s="477">
        <v>0.47638888888888892</v>
      </c>
    </row>
    <row r="1011" spans="1:2" hidden="1" x14ac:dyDescent="0.25">
      <c r="A1011" s="475" t="s">
        <v>2404</v>
      </c>
      <c r="B1011" s="477">
        <v>0.47638888888888892</v>
      </c>
    </row>
    <row r="1012" spans="1:2" hidden="1" x14ac:dyDescent="0.25">
      <c r="A1012" s="475" t="s">
        <v>2405</v>
      </c>
      <c r="B1012" s="477">
        <v>0.47569444444444442</v>
      </c>
    </row>
    <row r="1013" spans="1:2" hidden="1" x14ac:dyDescent="0.25">
      <c r="A1013" s="475" t="s">
        <v>2406</v>
      </c>
      <c r="B1013" s="477">
        <v>0.47638888888888892</v>
      </c>
    </row>
    <row r="1014" spans="1:2" hidden="1" x14ac:dyDescent="0.25">
      <c r="A1014" s="475" t="s">
        <v>2407</v>
      </c>
      <c r="B1014" s="477">
        <v>0.47638888888888892</v>
      </c>
    </row>
    <row r="1015" spans="1:2" hidden="1" x14ac:dyDescent="0.25">
      <c r="A1015" s="475" t="s">
        <v>2408</v>
      </c>
      <c r="B1015" s="477">
        <v>0.47569444444444442</v>
      </c>
    </row>
    <row r="1016" spans="1:2" hidden="1" x14ac:dyDescent="0.25">
      <c r="A1016" s="475" t="s">
        <v>2409</v>
      </c>
      <c r="B1016" s="477">
        <v>0.47569444444444442</v>
      </c>
    </row>
    <row r="1017" spans="1:2" hidden="1" x14ac:dyDescent="0.25">
      <c r="A1017" s="475" t="s">
        <v>2410</v>
      </c>
      <c r="B1017" s="477">
        <v>0.47638888888888892</v>
      </c>
    </row>
    <row r="1018" spans="1:2" hidden="1" x14ac:dyDescent="0.25">
      <c r="A1018" s="475" t="s">
        <v>2411</v>
      </c>
      <c r="B1018" s="477">
        <v>0.47569444444444442</v>
      </c>
    </row>
    <row r="1019" spans="1:2" hidden="1" x14ac:dyDescent="0.25">
      <c r="A1019" s="475" t="s">
        <v>2412</v>
      </c>
      <c r="B1019" s="477">
        <v>0.47638888888888892</v>
      </c>
    </row>
    <row r="1020" spans="1:2" hidden="1" x14ac:dyDescent="0.25">
      <c r="A1020" s="475" t="s">
        <v>2413</v>
      </c>
      <c r="B1020" s="477">
        <v>0.47638888888888892</v>
      </c>
    </row>
    <row r="1021" spans="1:2" hidden="1" x14ac:dyDescent="0.25">
      <c r="A1021" s="475" t="s">
        <v>2414</v>
      </c>
      <c r="B1021" s="477">
        <v>0.47638888888888892</v>
      </c>
    </row>
    <row r="1022" spans="1:2" hidden="1" x14ac:dyDescent="0.25">
      <c r="A1022" s="475" t="s">
        <v>2415</v>
      </c>
      <c r="B1022" s="477">
        <v>0.47638888888888892</v>
      </c>
    </row>
    <row r="1023" spans="1:2" hidden="1" x14ac:dyDescent="0.25">
      <c r="A1023" s="475" t="s">
        <v>2416</v>
      </c>
      <c r="B1023" s="477">
        <v>0.47638888888888892</v>
      </c>
    </row>
    <row r="1024" spans="1:2" hidden="1" x14ac:dyDescent="0.25">
      <c r="A1024" s="475" t="s">
        <v>2417</v>
      </c>
      <c r="B1024" s="477">
        <v>0.47638888888888892</v>
      </c>
    </row>
    <row r="1025" spans="1:2" hidden="1" x14ac:dyDescent="0.25">
      <c r="A1025" s="475" t="s">
        <v>2418</v>
      </c>
      <c r="B1025" s="477">
        <v>0.47638888888888892</v>
      </c>
    </row>
    <row r="1026" spans="1:2" hidden="1" x14ac:dyDescent="0.25">
      <c r="A1026" s="475" t="s">
        <v>2419</v>
      </c>
      <c r="B1026" s="477">
        <v>0.47638888888888892</v>
      </c>
    </row>
    <row r="1027" spans="1:2" hidden="1" x14ac:dyDescent="0.25">
      <c r="A1027" s="475" t="s">
        <v>2420</v>
      </c>
      <c r="B1027" s="477">
        <v>0.47638888888888892</v>
      </c>
    </row>
    <row r="1028" spans="1:2" hidden="1" x14ac:dyDescent="0.25">
      <c r="A1028" s="475" t="s">
        <v>2421</v>
      </c>
      <c r="B1028" s="477">
        <v>0.47638888888888892</v>
      </c>
    </row>
    <row r="1029" spans="1:2" hidden="1" x14ac:dyDescent="0.25">
      <c r="A1029" s="475" t="s">
        <v>2422</v>
      </c>
      <c r="B1029" s="477">
        <v>0.47638888888888892</v>
      </c>
    </row>
    <row r="1030" spans="1:2" hidden="1" x14ac:dyDescent="0.25">
      <c r="A1030" s="475" t="s">
        <v>2423</v>
      </c>
      <c r="B1030" s="477">
        <v>0.47638888888888892</v>
      </c>
    </row>
    <row r="1031" spans="1:2" hidden="1" x14ac:dyDescent="0.25">
      <c r="A1031" s="475" t="s">
        <v>2424</v>
      </c>
      <c r="B1031" s="477">
        <v>0.47638888888888892</v>
      </c>
    </row>
    <row r="1032" spans="1:2" hidden="1" x14ac:dyDescent="0.25">
      <c r="A1032" s="475" t="s">
        <v>2425</v>
      </c>
      <c r="B1032" s="477">
        <v>0.47638888888888892</v>
      </c>
    </row>
    <row r="1033" spans="1:2" hidden="1" x14ac:dyDescent="0.25">
      <c r="A1033" s="475" t="s">
        <v>2426</v>
      </c>
      <c r="B1033" s="477">
        <v>0.47638888888888892</v>
      </c>
    </row>
    <row r="1034" spans="1:2" hidden="1" x14ac:dyDescent="0.25">
      <c r="A1034" s="475" t="s">
        <v>2427</v>
      </c>
      <c r="B1034" s="477">
        <v>0.47638888888888892</v>
      </c>
    </row>
    <row r="1035" spans="1:2" hidden="1" x14ac:dyDescent="0.25">
      <c r="A1035" s="475" t="s">
        <v>2428</v>
      </c>
      <c r="B1035" s="477">
        <v>0.47638888888888892</v>
      </c>
    </row>
    <row r="1036" spans="1:2" hidden="1" x14ac:dyDescent="0.25">
      <c r="A1036" s="475" t="s">
        <v>2429</v>
      </c>
      <c r="B1036" s="477">
        <v>0.47638888888888892</v>
      </c>
    </row>
    <row r="1037" spans="1:2" hidden="1" x14ac:dyDescent="0.25">
      <c r="A1037" s="475" t="s">
        <v>2430</v>
      </c>
      <c r="B1037" s="477">
        <v>0.47638888888888892</v>
      </c>
    </row>
    <row r="1038" spans="1:2" hidden="1" x14ac:dyDescent="0.25">
      <c r="A1038" s="475" t="s">
        <v>2431</v>
      </c>
      <c r="B1038" s="477">
        <v>0.47638888888888892</v>
      </c>
    </row>
    <row r="1039" spans="1:2" hidden="1" x14ac:dyDescent="0.25">
      <c r="A1039" s="475" t="s">
        <v>2432</v>
      </c>
      <c r="B1039" s="477">
        <v>0.47569444444444442</v>
      </c>
    </row>
    <row r="1040" spans="1:2" hidden="1" x14ac:dyDescent="0.25">
      <c r="A1040" s="475" t="s">
        <v>2433</v>
      </c>
      <c r="B1040" s="477">
        <v>0.47569444444444442</v>
      </c>
    </row>
    <row r="1041" spans="1:2" hidden="1" x14ac:dyDescent="0.25">
      <c r="A1041" s="475" t="s">
        <v>2434</v>
      </c>
      <c r="B1041" s="477">
        <v>0.47569444444444442</v>
      </c>
    </row>
    <row r="1042" spans="1:2" hidden="1" x14ac:dyDescent="0.25">
      <c r="A1042" s="475" t="s">
        <v>2435</v>
      </c>
      <c r="B1042" s="477">
        <v>0.47638888888888892</v>
      </c>
    </row>
    <row r="1043" spans="1:2" hidden="1" x14ac:dyDescent="0.25">
      <c r="A1043" s="475" t="s">
        <v>2436</v>
      </c>
      <c r="B1043" s="477">
        <v>0.47638888888888892</v>
      </c>
    </row>
    <row r="1044" spans="1:2" hidden="1" x14ac:dyDescent="0.25">
      <c r="A1044" s="475" t="s">
        <v>2437</v>
      </c>
      <c r="B1044" s="477">
        <v>0.47569444444444442</v>
      </c>
    </row>
    <row r="1045" spans="1:2" hidden="1" x14ac:dyDescent="0.25">
      <c r="A1045" s="475" t="s">
        <v>2438</v>
      </c>
      <c r="B1045" s="477">
        <v>0.47638888888888892</v>
      </c>
    </row>
    <row r="1046" spans="1:2" hidden="1" x14ac:dyDescent="0.25">
      <c r="A1046" s="475" t="s">
        <v>2439</v>
      </c>
      <c r="B1046" s="477">
        <v>0.47638888888888892</v>
      </c>
    </row>
    <row r="1047" spans="1:2" hidden="1" x14ac:dyDescent="0.25">
      <c r="A1047" s="475" t="s">
        <v>2440</v>
      </c>
      <c r="B1047" s="477">
        <v>0.47638888888888892</v>
      </c>
    </row>
    <row r="1048" spans="1:2" hidden="1" x14ac:dyDescent="0.25">
      <c r="A1048" s="475" t="s">
        <v>2441</v>
      </c>
      <c r="B1048" s="477">
        <v>0.47638888888888892</v>
      </c>
    </row>
    <row r="1049" spans="1:2" hidden="1" x14ac:dyDescent="0.25">
      <c r="A1049" s="475" t="s">
        <v>2442</v>
      </c>
      <c r="B1049" s="477">
        <v>0.47638888888888892</v>
      </c>
    </row>
    <row r="1050" spans="1:2" hidden="1" x14ac:dyDescent="0.25">
      <c r="A1050" s="475" t="s">
        <v>2443</v>
      </c>
      <c r="B1050" s="477">
        <v>0.47638888888888892</v>
      </c>
    </row>
    <row r="1051" spans="1:2" hidden="1" x14ac:dyDescent="0.25">
      <c r="A1051" s="475" t="s">
        <v>2444</v>
      </c>
      <c r="B1051" s="477">
        <v>0.47569444444444442</v>
      </c>
    </row>
    <row r="1052" spans="1:2" hidden="1" x14ac:dyDescent="0.25">
      <c r="A1052" s="475" t="s">
        <v>2445</v>
      </c>
      <c r="B1052" s="477">
        <v>0.47638888888888892</v>
      </c>
    </row>
    <row r="1053" spans="1:2" hidden="1" x14ac:dyDescent="0.25">
      <c r="A1053" s="475" t="s">
        <v>2446</v>
      </c>
      <c r="B1053" s="477">
        <v>0.47638888888888892</v>
      </c>
    </row>
    <row r="1054" spans="1:2" hidden="1" x14ac:dyDescent="0.25">
      <c r="A1054" s="475" t="s">
        <v>2447</v>
      </c>
      <c r="B1054" s="477">
        <v>0.47638888888888892</v>
      </c>
    </row>
    <row r="1055" spans="1:2" hidden="1" x14ac:dyDescent="0.25">
      <c r="A1055" s="475" t="s">
        <v>2448</v>
      </c>
      <c r="B1055" s="477">
        <v>0.47569444444444442</v>
      </c>
    </row>
    <row r="1056" spans="1:2" hidden="1" x14ac:dyDescent="0.25">
      <c r="A1056" s="475" t="s">
        <v>2449</v>
      </c>
      <c r="B1056" s="477">
        <v>0.47569444444444442</v>
      </c>
    </row>
    <row r="1057" spans="1:2" hidden="1" x14ac:dyDescent="0.25">
      <c r="A1057" s="475" t="s">
        <v>2450</v>
      </c>
      <c r="B1057" s="477">
        <v>0.47569444444444442</v>
      </c>
    </row>
    <row r="1058" spans="1:2" hidden="1" x14ac:dyDescent="0.25">
      <c r="A1058" s="475" t="s">
        <v>2451</v>
      </c>
      <c r="B1058" s="477">
        <v>0.47569444444444442</v>
      </c>
    </row>
    <row r="1059" spans="1:2" hidden="1" x14ac:dyDescent="0.25">
      <c r="A1059" s="475" t="s">
        <v>2452</v>
      </c>
      <c r="B1059" s="477">
        <v>0.47569444444444442</v>
      </c>
    </row>
    <row r="1060" spans="1:2" hidden="1" x14ac:dyDescent="0.25">
      <c r="A1060" s="475" t="s">
        <v>2453</v>
      </c>
      <c r="B1060" s="477">
        <v>0.47638888888888892</v>
      </c>
    </row>
    <row r="1061" spans="1:2" hidden="1" x14ac:dyDescent="0.25">
      <c r="A1061" s="475" t="s">
        <v>2454</v>
      </c>
      <c r="B1061" s="477">
        <v>0.47638888888888892</v>
      </c>
    </row>
    <row r="1062" spans="1:2" hidden="1" x14ac:dyDescent="0.25">
      <c r="A1062" s="475" t="s">
        <v>2455</v>
      </c>
      <c r="B1062" s="477">
        <v>0.47638888888888892</v>
      </c>
    </row>
    <row r="1063" spans="1:2" hidden="1" x14ac:dyDescent="0.25">
      <c r="A1063" s="475" t="s">
        <v>2456</v>
      </c>
      <c r="B1063" s="477">
        <v>0.47638888888888892</v>
      </c>
    </row>
    <row r="1064" spans="1:2" hidden="1" x14ac:dyDescent="0.25">
      <c r="A1064" s="475" t="s">
        <v>2457</v>
      </c>
      <c r="B1064" s="477">
        <v>0.47638888888888892</v>
      </c>
    </row>
    <row r="1065" spans="1:2" hidden="1" x14ac:dyDescent="0.25">
      <c r="A1065" s="475" t="s">
        <v>2458</v>
      </c>
      <c r="B1065" s="477">
        <v>0.47638888888888892</v>
      </c>
    </row>
    <row r="1066" spans="1:2" hidden="1" x14ac:dyDescent="0.25">
      <c r="A1066" s="475" t="s">
        <v>2459</v>
      </c>
      <c r="B1066" s="477">
        <v>0.47569444444444442</v>
      </c>
    </row>
    <row r="1067" spans="1:2" hidden="1" x14ac:dyDescent="0.25">
      <c r="A1067" s="475" t="s">
        <v>2460</v>
      </c>
      <c r="B1067" s="477">
        <v>0.47638888888888892</v>
      </c>
    </row>
    <row r="1068" spans="1:2" hidden="1" x14ac:dyDescent="0.25">
      <c r="A1068" s="475" t="s">
        <v>2461</v>
      </c>
      <c r="B1068" s="477">
        <v>0.47569444444444442</v>
      </c>
    </row>
    <row r="1069" spans="1:2" hidden="1" x14ac:dyDescent="0.25">
      <c r="A1069" s="475" t="s">
        <v>2462</v>
      </c>
      <c r="B1069" s="477">
        <v>0.47569444444444442</v>
      </c>
    </row>
    <row r="1070" spans="1:2" hidden="1" x14ac:dyDescent="0.25">
      <c r="A1070" s="475" t="s">
        <v>2463</v>
      </c>
      <c r="B1070" s="477">
        <v>0.47638888888888892</v>
      </c>
    </row>
    <row r="1071" spans="1:2" hidden="1" x14ac:dyDescent="0.25">
      <c r="A1071" s="475" t="s">
        <v>2464</v>
      </c>
      <c r="B1071" s="477">
        <v>0.47569444444444442</v>
      </c>
    </row>
    <row r="1072" spans="1:2" hidden="1" x14ac:dyDescent="0.25">
      <c r="A1072" s="475" t="s">
        <v>2465</v>
      </c>
      <c r="B1072" s="477">
        <v>0.47569444444444442</v>
      </c>
    </row>
    <row r="1073" spans="1:2" hidden="1" x14ac:dyDescent="0.25">
      <c r="A1073" s="475" t="s">
        <v>2466</v>
      </c>
      <c r="B1073" s="477">
        <v>0.47569444444444442</v>
      </c>
    </row>
    <row r="1074" spans="1:2" hidden="1" x14ac:dyDescent="0.25">
      <c r="A1074" s="475" t="s">
        <v>2467</v>
      </c>
      <c r="B1074" s="477">
        <v>0.47638888888888892</v>
      </c>
    </row>
    <row r="1075" spans="1:2" hidden="1" x14ac:dyDescent="0.25">
      <c r="A1075" s="475" t="s">
        <v>2468</v>
      </c>
      <c r="B1075" s="477">
        <v>0.47569444444444442</v>
      </c>
    </row>
    <row r="1076" spans="1:2" hidden="1" x14ac:dyDescent="0.25">
      <c r="A1076" s="475" t="s">
        <v>2469</v>
      </c>
      <c r="B1076" s="477">
        <v>0.47638888888888892</v>
      </c>
    </row>
    <row r="1077" spans="1:2" hidden="1" x14ac:dyDescent="0.25">
      <c r="A1077" s="475" t="s">
        <v>2470</v>
      </c>
      <c r="B1077" s="477">
        <v>0.47638888888888892</v>
      </c>
    </row>
    <row r="1078" spans="1:2" hidden="1" x14ac:dyDescent="0.25">
      <c r="A1078" s="475" t="s">
        <v>2471</v>
      </c>
      <c r="B1078" s="477">
        <v>0.47638888888888892</v>
      </c>
    </row>
    <row r="1079" spans="1:2" hidden="1" x14ac:dyDescent="0.25">
      <c r="A1079" s="475" t="s">
        <v>2472</v>
      </c>
      <c r="B1079" s="477">
        <v>0.47569444444444442</v>
      </c>
    </row>
    <row r="1080" spans="1:2" hidden="1" x14ac:dyDescent="0.25">
      <c r="A1080" s="475" t="s">
        <v>2473</v>
      </c>
      <c r="B1080" s="477">
        <v>0.47638888888888892</v>
      </c>
    </row>
    <row r="1081" spans="1:2" hidden="1" x14ac:dyDescent="0.25">
      <c r="A1081" s="475" t="s">
        <v>2474</v>
      </c>
      <c r="B1081" s="477">
        <v>0.47569444444444442</v>
      </c>
    </row>
    <row r="1082" spans="1:2" hidden="1" x14ac:dyDescent="0.25">
      <c r="A1082" s="475" t="s">
        <v>2475</v>
      </c>
      <c r="B1082" s="477">
        <v>0.47638888888888892</v>
      </c>
    </row>
    <row r="1083" spans="1:2" hidden="1" x14ac:dyDescent="0.25">
      <c r="A1083" s="475" t="s">
        <v>2476</v>
      </c>
      <c r="B1083" s="477">
        <v>0.47638888888888892</v>
      </c>
    </row>
    <row r="1084" spans="1:2" hidden="1" x14ac:dyDescent="0.25">
      <c r="A1084" s="475" t="s">
        <v>2477</v>
      </c>
      <c r="B1084" s="477">
        <v>0.47638888888888892</v>
      </c>
    </row>
    <row r="1085" spans="1:2" hidden="1" x14ac:dyDescent="0.25">
      <c r="A1085" s="475" t="s">
        <v>2478</v>
      </c>
      <c r="B1085" s="477">
        <v>0.47638888888888892</v>
      </c>
    </row>
    <row r="1086" spans="1:2" hidden="1" x14ac:dyDescent="0.25">
      <c r="A1086" s="475" t="s">
        <v>2479</v>
      </c>
      <c r="B1086" s="477">
        <v>0.47569444444444442</v>
      </c>
    </row>
    <row r="1087" spans="1:2" hidden="1" x14ac:dyDescent="0.25">
      <c r="A1087" s="475" t="s">
        <v>2480</v>
      </c>
      <c r="B1087" s="477">
        <v>0.47569444444444442</v>
      </c>
    </row>
    <row r="1088" spans="1:2" hidden="1" x14ac:dyDescent="0.25">
      <c r="A1088" s="475" t="s">
        <v>2481</v>
      </c>
      <c r="B1088" s="477">
        <v>0.47638888888888892</v>
      </c>
    </row>
    <row r="1089" spans="1:2" hidden="1" x14ac:dyDescent="0.25">
      <c r="A1089" s="475" t="s">
        <v>2482</v>
      </c>
      <c r="B1089" s="477">
        <v>0.47569444444444442</v>
      </c>
    </row>
    <row r="1090" spans="1:2" hidden="1" x14ac:dyDescent="0.25">
      <c r="A1090" s="475" t="s">
        <v>2483</v>
      </c>
      <c r="B1090" s="477">
        <v>0.47638888888888892</v>
      </c>
    </row>
    <row r="1091" spans="1:2" hidden="1" x14ac:dyDescent="0.25">
      <c r="A1091" s="475" t="s">
        <v>2484</v>
      </c>
      <c r="B1091" s="477">
        <v>0.47569444444444442</v>
      </c>
    </row>
    <row r="1092" spans="1:2" hidden="1" x14ac:dyDescent="0.25">
      <c r="A1092" s="475" t="s">
        <v>2485</v>
      </c>
      <c r="B1092" s="477">
        <v>0.47638888888888892</v>
      </c>
    </row>
    <row r="1093" spans="1:2" hidden="1" x14ac:dyDescent="0.25">
      <c r="A1093" s="475" t="s">
        <v>2486</v>
      </c>
      <c r="B1093" s="477">
        <v>0.47638888888888892</v>
      </c>
    </row>
    <row r="1094" spans="1:2" hidden="1" x14ac:dyDescent="0.25">
      <c r="A1094" s="475" t="s">
        <v>2487</v>
      </c>
      <c r="B1094" s="477">
        <v>0.47569444444444442</v>
      </c>
    </row>
    <row r="1095" spans="1:2" hidden="1" x14ac:dyDescent="0.25">
      <c r="A1095" s="475" t="s">
        <v>2488</v>
      </c>
      <c r="B1095" s="477">
        <v>0.47638888888888892</v>
      </c>
    </row>
    <row r="1096" spans="1:2" hidden="1" x14ac:dyDescent="0.25">
      <c r="A1096" s="475" t="s">
        <v>2489</v>
      </c>
      <c r="B1096" s="477">
        <v>0.47638888888888892</v>
      </c>
    </row>
    <row r="1097" spans="1:2" hidden="1" x14ac:dyDescent="0.25">
      <c r="A1097" s="475" t="s">
        <v>2490</v>
      </c>
      <c r="B1097" s="477">
        <v>0.47638888888888892</v>
      </c>
    </row>
    <row r="1098" spans="1:2" hidden="1" x14ac:dyDescent="0.25">
      <c r="A1098" s="475" t="s">
        <v>2491</v>
      </c>
      <c r="B1098" s="477">
        <v>0.47638888888888892</v>
      </c>
    </row>
    <row r="1099" spans="1:2" hidden="1" x14ac:dyDescent="0.25">
      <c r="A1099" s="475" t="s">
        <v>2492</v>
      </c>
      <c r="B1099" s="477">
        <v>0.47638888888888892</v>
      </c>
    </row>
    <row r="1100" spans="1:2" hidden="1" x14ac:dyDescent="0.25">
      <c r="A1100" s="475" t="s">
        <v>2493</v>
      </c>
      <c r="B1100" s="477">
        <v>0.47638888888888892</v>
      </c>
    </row>
    <row r="1101" spans="1:2" hidden="1" x14ac:dyDescent="0.25">
      <c r="A1101" s="475" t="s">
        <v>2494</v>
      </c>
      <c r="B1101" s="477">
        <v>0.47569444444444442</v>
      </c>
    </row>
    <row r="1102" spans="1:2" hidden="1" x14ac:dyDescent="0.25">
      <c r="A1102" s="475" t="s">
        <v>2495</v>
      </c>
      <c r="B1102" s="477">
        <v>0.47638888888888892</v>
      </c>
    </row>
    <row r="1103" spans="1:2" hidden="1" x14ac:dyDescent="0.25">
      <c r="A1103" s="475" t="s">
        <v>2496</v>
      </c>
      <c r="B1103" s="477">
        <v>0.47569444444444442</v>
      </c>
    </row>
    <row r="1104" spans="1:2" hidden="1" x14ac:dyDescent="0.25">
      <c r="A1104" s="475" t="s">
        <v>2497</v>
      </c>
      <c r="B1104" s="477">
        <v>0.47569444444444442</v>
      </c>
    </row>
    <row r="1105" spans="1:2" hidden="1" x14ac:dyDescent="0.25">
      <c r="A1105" s="475" t="s">
        <v>2498</v>
      </c>
      <c r="B1105" s="477">
        <v>0.47569444444444442</v>
      </c>
    </row>
    <row r="1106" spans="1:2" hidden="1" x14ac:dyDescent="0.25">
      <c r="A1106" s="475" t="s">
        <v>2499</v>
      </c>
      <c r="B1106" s="477">
        <v>0.47638888888888892</v>
      </c>
    </row>
    <row r="1107" spans="1:2" hidden="1" x14ac:dyDescent="0.25">
      <c r="A1107" s="475" t="s">
        <v>2500</v>
      </c>
      <c r="B1107" s="477">
        <v>0.47638888888888892</v>
      </c>
    </row>
    <row r="1108" spans="1:2" hidden="1" x14ac:dyDescent="0.25">
      <c r="A1108" s="475" t="s">
        <v>2501</v>
      </c>
      <c r="B1108" s="477">
        <v>0.47638888888888892</v>
      </c>
    </row>
    <row r="1109" spans="1:2" hidden="1" x14ac:dyDescent="0.25">
      <c r="A1109" s="475" t="s">
        <v>2502</v>
      </c>
      <c r="B1109" s="477">
        <v>0.47569444444444442</v>
      </c>
    </row>
    <row r="1110" spans="1:2" hidden="1" x14ac:dyDescent="0.25">
      <c r="A1110" s="475" t="s">
        <v>2503</v>
      </c>
      <c r="B1110" s="477">
        <v>0.47638888888888892</v>
      </c>
    </row>
    <row r="1111" spans="1:2" hidden="1" x14ac:dyDescent="0.25">
      <c r="A1111" s="475" t="s">
        <v>2504</v>
      </c>
      <c r="B1111" s="477">
        <v>0.47638888888888892</v>
      </c>
    </row>
    <row r="1112" spans="1:2" hidden="1" x14ac:dyDescent="0.25">
      <c r="A1112" s="475" t="s">
        <v>2505</v>
      </c>
      <c r="B1112" s="477">
        <v>0.47569444444444442</v>
      </c>
    </row>
    <row r="1113" spans="1:2" hidden="1" x14ac:dyDescent="0.25">
      <c r="A1113" s="475" t="s">
        <v>2506</v>
      </c>
      <c r="B1113" s="477">
        <v>0.47569444444444442</v>
      </c>
    </row>
    <row r="1114" spans="1:2" hidden="1" x14ac:dyDescent="0.25">
      <c r="A1114" s="475" t="s">
        <v>2507</v>
      </c>
      <c r="B1114" s="477">
        <v>0.47569444444444442</v>
      </c>
    </row>
    <row r="1115" spans="1:2" hidden="1" x14ac:dyDescent="0.25">
      <c r="A1115" s="475" t="s">
        <v>2508</v>
      </c>
      <c r="B1115" s="477">
        <v>0.47569444444444442</v>
      </c>
    </row>
    <row r="1116" spans="1:2" hidden="1" x14ac:dyDescent="0.25">
      <c r="A1116" s="475" t="s">
        <v>2509</v>
      </c>
      <c r="B1116" s="477">
        <v>0.47638888888888892</v>
      </c>
    </row>
    <row r="1117" spans="1:2" hidden="1" x14ac:dyDescent="0.25">
      <c r="A1117" s="475" t="s">
        <v>2510</v>
      </c>
      <c r="B1117" s="477">
        <v>0.47638888888888892</v>
      </c>
    </row>
    <row r="1118" spans="1:2" hidden="1" x14ac:dyDescent="0.25">
      <c r="A1118" s="475" t="s">
        <v>2511</v>
      </c>
      <c r="B1118" s="477">
        <v>0.47638888888888892</v>
      </c>
    </row>
    <row r="1119" spans="1:2" hidden="1" x14ac:dyDescent="0.25">
      <c r="A1119" s="475" t="s">
        <v>2512</v>
      </c>
      <c r="B1119" s="477">
        <v>0.47569444444444442</v>
      </c>
    </row>
    <row r="1120" spans="1:2" hidden="1" x14ac:dyDescent="0.25">
      <c r="A1120" s="475" t="s">
        <v>2513</v>
      </c>
      <c r="B1120" s="477">
        <v>0.47569444444444442</v>
      </c>
    </row>
    <row r="1121" spans="1:2" hidden="1" x14ac:dyDescent="0.25">
      <c r="A1121" s="475" t="s">
        <v>2514</v>
      </c>
      <c r="B1121" s="477">
        <v>0.47569444444444442</v>
      </c>
    </row>
    <row r="1122" spans="1:2" hidden="1" x14ac:dyDescent="0.25">
      <c r="A1122" s="475" t="s">
        <v>2515</v>
      </c>
      <c r="B1122" s="477">
        <v>0.47569444444444442</v>
      </c>
    </row>
    <row r="1123" spans="1:2" hidden="1" x14ac:dyDescent="0.25">
      <c r="A1123" s="475" t="s">
        <v>2516</v>
      </c>
      <c r="B1123" s="477">
        <v>0.47638888888888892</v>
      </c>
    </row>
    <row r="1124" spans="1:2" hidden="1" x14ac:dyDescent="0.25">
      <c r="A1124" s="475" t="s">
        <v>2517</v>
      </c>
      <c r="B1124" s="477">
        <v>0.47569444444444442</v>
      </c>
    </row>
    <row r="1125" spans="1:2" hidden="1" x14ac:dyDescent="0.25">
      <c r="A1125" s="475" t="s">
        <v>2518</v>
      </c>
      <c r="B1125" s="477">
        <v>0.47569444444444442</v>
      </c>
    </row>
    <row r="1126" spans="1:2" hidden="1" x14ac:dyDescent="0.25">
      <c r="A1126" s="475" t="s">
        <v>2519</v>
      </c>
      <c r="B1126" s="477">
        <v>0.47569444444444442</v>
      </c>
    </row>
    <row r="1127" spans="1:2" hidden="1" x14ac:dyDescent="0.25">
      <c r="A1127" s="475" t="s">
        <v>2520</v>
      </c>
      <c r="B1127" s="477">
        <v>0.47569444444444442</v>
      </c>
    </row>
    <row r="1128" spans="1:2" hidden="1" x14ac:dyDescent="0.25">
      <c r="A1128" s="475" t="s">
        <v>2521</v>
      </c>
      <c r="B1128" s="477">
        <v>0.47638888888888892</v>
      </c>
    </row>
    <row r="1129" spans="1:2" hidden="1" x14ac:dyDescent="0.25">
      <c r="A1129" s="475" t="s">
        <v>2522</v>
      </c>
      <c r="B1129" s="477">
        <v>0.47638888888888892</v>
      </c>
    </row>
    <row r="1130" spans="1:2" hidden="1" x14ac:dyDescent="0.25">
      <c r="A1130" s="475" t="s">
        <v>2523</v>
      </c>
      <c r="B1130" s="477">
        <v>0.47569444444444442</v>
      </c>
    </row>
    <row r="1131" spans="1:2" hidden="1" x14ac:dyDescent="0.25">
      <c r="A1131" s="475" t="s">
        <v>2524</v>
      </c>
      <c r="B1131" s="477">
        <v>0.47569444444444442</v>
      </c>
    </row>
    <row r="1132" spans="1:2" hidden="1" x14ac:dyDescent="0.25">
      <c r="A1132" s="475" t="s">
        <v>2525</v>
      </c>
      <c r="B1132" s="477">
        <v>0.47569444444444442</v>
      </c>
    </row>
    <row r="1133" spans="1:2" hidden="1" x14ac:dyDescent="0.25">
      <c r="A1133" s="475" t="s">
        <v>2526</v>
      </c>
      <c r="B1133" s="477">
        <v>0.47638888888888892</v>
      </c>
    </row>
    <row r="1134" spans="1:2" hidden="1" x14ac:dyDescent="0.25">
      <c r="A1134" s="475" t="s">
        <v>2527</v>
      </c>
      <c r="B1134" s="477">
        <v>0.47569444444444442</v>
      </c>
    </row>
    <row r="1135" spans="1:2" hidden="1" x14ac:dyDescent="0.25">
      <c r="A1135" s="475" t="s">
        <v>2528</v>
      </c>
      <c r="B1135" s="477">
        <v>0.47569444444444442</v>
      </c>
    </row>
    <row r="1136" spans="1:2" hidden="1" x14ac:dyDescent="0.25">
      <c r="A1136" s="475" t="s">
        <v>2529</v>
      </c>
      <c r="B1136" s="477">
        <v>0.47638888888888892</v>
      </c>
    </row>
    <row r="1137" spans="1:2" hidden="1" x14ac:dyDescent="0.25">
      <c r="A1137" s="475" t="s">
        <v>2530</v>
      </c>
      <c r="B1137" s="477">
        <v>0.47569444444444442</v>
      </c>
    </row>
    <row r="1138" spans="1:2" hidden="1" x14ac:dyDescent="0.25">
      <c r="A1138" s="475" t="s">
        <v>2531</v>
      </c>
      <c r="B1138" s="477">
        <v>0.47638888888888892</v>
      </c>
    </row>
    <row r="1139" spans="1:2" hidden="1" x14ac:dyDescent="0.25">
      <c r="A1139" s="475" t="s">
        <v>2532</v>
      </c>
      <c r="B1139" s="477">
        <v>0.47569444444444442</v>
      </c>
    </row>
    <row r="1140" spans="1:2" hidden="1" x14ac:dyDescent="0.25">
      <c r="A1140" s="475" t="s">
        <v>2533</v>
      </c>
      <c r="B1140" s="477">
        <v>0.47638888888888892</v>
      </c>
    </row>
    <row r="1141" spans="1:2" hidden="1" x14ac:dyDescent="0.25">
      <c r="A1141" s="475" t="s">
        <v>2534</v>
      </c>
      <c r="B1141" s="477">
        <v>0.47638888888888892</v>
      </c>
    </row>
    <row r="1142" spans="1:2" hidden="1" x14ac:dyDescent="0.25">
      <c r="A1142" s="475" t="s">
        <v>2535</v>
      </c>
      <c r="B1142" s="477">
        <v>0.47569444444444442</v>
      </c>
    </row>
    <row r="1143" spans="1:2" hidden="1" x14ac:dyDescent="0.25">
      <c r="A1143" s="475" t="s">
        <v>2536</v>
      </c>
      <c r="B1143" s="477">
        <v>0.47638888888888892</v>
      </c>
    </row>
    <row r="1144" spans="1:2" hidden="1" x14ac:dyDescent="0.25">
      <c r="A1144" s="475" t="s">
        <v>2537</v>
      </c>
      <c r="B1144" s="477">
        <v>0.47638888888888892</v>
      </c>
    </row>
    <row r="1145" spans="1:2" hidden="1" x14ac:dyDescent="0.25">
      <c r="A1145" s="475" t="s">
        <v>2538</v>
      </c>
      <c r="B1145" s="477">
        <v>0.47569444444444442</v>
      </c>
    </row>
    <row r="1146" spans="1:2" hidden="1" x14ac:dyDescent="0.25">
      <c r="A1146" s="475" t="s">
        <v>2539</v>
      </c>
      <c r="B1146" s="477">
        <v>0.47569444444444442</v>
      </c>
    </row>
    <row r="1147" spans="1:2" hidden="1" x14ac:dyDescent="0.25">
      <c r="A1147" s="475" t="s">
        <v>2540</v>
      </c>
      <c r="B1147" s="477">
        <v>0.47569444444444442</v>
      </c>
    </row>
    <row r="1148" spans="1:2" hidden="1" x14ac:dyDescent="0.25">
      <c r="A1148" s="475" t="s">
        <v>2541</v>
      </c>
      <c r="B1148" s="477">
        <v>0.47638888888888892</v>
      </c>
    </row>
    <row r="1149" spans="1:2" hidden="1" x14ac:dyDescent="0.25">
      <c r="A1149" s="475" t="s">
        <v>2542</v>
      </c>
      <c r="B1149" s="477">
        <v>0.47638888888888892</v>
      </c>
    </row>
    <row r="1150" spans="1:2" hidden="1" x14ac:dyDescent="0.25">
      <c r="A1150" s="475" t="s">
        <v>2543</v>
      </c>
      <c r="B1150" s="477">
        <v>0.47569444444444442</v>
      </c>
    </row>
    <row r="1151" spans="1:2" hidden="1" x14ac:dyDescent="0.25">
      <c r="A1151" s="475" t="s">
        <v>2544</v>
      </c>
      <c r="B1151" s="477">
        <v>0.47569444444444442</v>
      </c>
    </row>
    <row r="1152" spans="1:2" hidden="1" x14ac:dyDescent="0.25">
      <c r="A1152" s="475" t="s">
        <v>2545</v>
      </c>
      <c r="B1152" s="477">
        <v>0.47638888888888892</v>
      </c>
    </row>
    <row r="1153" spans="1:2" hidden="1" x14ac:dyDescent="0.25">
      <c r="A1153" s="475" t="s">
        <v>2546</v>
      </c>
      <c r="B1153" s="477">
        <v>0.47638888888888892</v>
      </c>
    </row>
    <row r="1154" spans="1:2" hidden="1" x14ac:dyDescent="0.25">
      <c r="A1154" s="475" t="s">
        <v>2547</v>
      </c>
      <c r="B1154" s="477">
        <v>0.47569444444444442</v>
      </c>
    </row>
    <row r="1155" spans="1:2" hidden="1" x14ac:dyDescent="0.25">
      <c r="A1155" s="475" t="s">
        <v>2548</v>
      </c>
      <c r="B1155" s="477">
        <v>0.47569444444444442</v>
      </c>
    </row>
    <row r="1156" spans="1:2" hidden="1" x14ac:dyDescent="0.25">
      <c r="A1156" s="475" t="s">
        <v>2549</v>
      </c>
      <c r="B1156" s="477">
        <v>0.47569444444444442</v>
      </c>
    </row>
    <row r="1157" spans="1:2" hidden="1" x14ac:dyDescent="0.25">
      <c r="A1157" s="475" t="s">
        <v>2550</v>
      </c>
      <c r="B1157" s="477">
        <v>0.47569444444444442</v>
      </c>
    </row>
    <row r="1158" spans="1:2" hidden="1" x14ac:dyDescent="0.25">
      <c r="A1158" s="475" t="s">
        <v>2551</v>
      </c>
      <c r="B1158" s="477">
        <v>0.47569444444444442</v>
      </c>
    </row>
    <row r="1159" spans="1:2" hidden="1" x14ac:dyDescent="0.25">
      <c r="A1159" s="475" t="s">
        <v>2552</v>
      </c>
      <c r="B1159" s="477">
        <v>0.47638888888888892</v>
      </c>
    </row>
    <row r="1160" spans="1:2" hidden="1" x14ac:dyDescent="0.25">
      <c r="A1160" s="475" t="s">
        <v>2553</v>
      </c>
      <c r="B1160" s="477">
        <v>0.47638888888888892</v>
      </c>
    </row>
    <row r="1161" spans="1:2" hidden="1" x14ac:dyDescent="0.25">
      <c r="A1161" s="475" t="s">
        <v>2554</v>
      </c>
      <c r="B1161" s="477">
        <v>0.47569444444444442</v>
      </c>
    </row>
    <row r="1162" spans="1:2" hidden="1" x14ac:dyDescent="0.25">
      <c r="A1162" s="475" t="s">
        <v>2555</v>
      </c>
      <c r="B1162" s="477">
        <v>0.47638888888888892</v>
      </c>
    </row>
    <row r="1163" spans="1:2" hidden="1" x14ac:dyDescent="0.25">
      <c r="A1163" s="475" t="s">
        <v>2556</v>
      </c>
      <c r="B1163" s="477">
        <v>0.47569444444444442</v>
      </c>
    </row>
    <row r="1164" spans="1:2" hidden="1" x14ac:dyDescent="0.25">
      <c r="A1164" s="475" t="s">
        <v>2557</v>
      </c>
      <c r="B1164" s="477">
        <v>0.47638888888888892</v>
      </c>
    </row>
    <row r="1165" spans="1:2" hidden="1" x14ac:dyDescent="0.25">
      <c r="A1165" s="475" t="s">
        <v>2558</v>
      </c>
      <c r="B1165" s="477">
        <v>0.47569444444444442</v>
      </c>
    </row>
    <row r="1166" spans="1:2" hidden="1" x14ac:dyDescent="0.25">
      <c r="A1166" s="475" t="s">
        <v>2559</v>
      </c>
      <c r="B1166" s="477">
        <v>0.47569444444444442</v>
      </c>
    </row>
    <row r="1167" spans="1:2" hidden="1" x14ac:dyDescent="0.25">
      <c r="A1167" s="475" t="s">
        <v>2560</v>
      </c>
      <c r="B1167" s="477">
        <v>0.47638888888888892</v>
      </c>
    </row>
    <row r="1168" spans="1:2" hidden="1" x14ac:dyDescent="0.25">
      <c r="A1168" s="475" t="s">
        <v>2561</v>
      </c>
      <c r="B1168" s="477">
        <v>0.47569444444444442</v>
      </c>
    </row>
    <row r="1169" spans="1:2" hidden="1" x14ac:dyDescent="0.25">
      <c r="A1169" s="475" t="s">
        <v>2562</v>
      </c>
      <c r="B1169" s="477">
        <v>0.47638888888888892</v>
      </c>
    </row>
    <row r="1170" spans="1:2" hidden="1" x14ac:dyDescent="0.25">
      <c r="A1170" s="475" t="s">
        <v>2563</v>
      </c>
      <c r="B1170" s="477">
        <v>0.47638888888888892</v>
      </c>
    </row>
    <row r="1171" spans="1:2" hidden="1" x14ac:dyDescent="0.25">
      <c r="A1171" s="475" t="s">
        <v>2564</v>
      </c>
      <c r="B1171" s="477">
        <v>0.47638888888888892</v>
      </c>
    </row>
    <row r="1172" spans="1:2" hidden="1" x14ac:dyDescent="0.25">
      <c r="A1172" s="475" t="s">
        <v>2565</v>
      </c>
      <c r="B1172" s="477">
        <v>0.47569444444444442</v>
      </c>
    </row>
    <row r="1173" spans="1:2" hidden="1" x14ac:dyDescent="0.25">
      <c r="A1173" s="475" t="s">
        <v>2566</v>
      </c>
      <c r="B1173" s="477">
        <v>0.47638888888888892</v>
      </c>
    </row>
    <row r="1174" spans="1:2" hidden="1" x14ac:dyDescent="0.25">
      <c r="A1174" s="475" t="s">
        <v>2567</v>
      </c>
      <c r="B1174" s="477">
        <v>0.47569444444444442</v>
      </c>
    </row>
    <row r="1175" spans="1:2" hidden="1" x14ac:dyDescent="0.25">
      <c r="A1175" s="475" t="s">
        <v>2568</v>
      </c>
      <c r="B1175" s="477">
        <v>0.47638888888888892</v>
      </c>
    </row>
    <row r="1176" spans="1:2" hidden="1" x14ac:dyDescent="0.25">
      <c r="A1176" s="475" t="s">
        <v>2569</v>
      </c>
      <c r="B1176" s="477">
        <v>0.47638888888888892</v>
      </c>
    </row>
    <row r="1177" spans="1:2" hidden="1" x14ac:dyDescent="0.25">
      <c r="A1177" s="475" t="s">
        <v>2570</v>
      </c>
      <c r="B1177" s="477">
        <v>0.47638888888888892</v>
      </c>
    </row>
    <row r="1178" spans="1:2" hidden="1" x14ac:dyDescent="0.25">
      <c r="A1178" s="475" t="s">
        <v>2571</v>
      </c>
      <c r="B1178" s="477">
        <v>0.47638888888888892</v>
      </c>
    </row>
    <row r="1179" spans="1:2" hidden="1" x14ac:dyDescent="0.25">
      <c r="A1179" s="475" t="s">
        <v>2572</v>
      </c>
      <c r="B1179" s="477">
        <v>0.47569444444444442</v>
      </c>
    </row>
    <row r="1180" spans="1:2" hidden="1" x14ac:dyDescent="0.25">
      <c r="A1180" s="475" t="s">
        <v>2573</v>
      </c>
      <c r="B1180" s="477">
        <v>0.47638888888888892</v>
      </c>
    </row>
    <row r="1181" spans="1:2" hidden="1" x14ac:dyDescent="0.25">
      <c r="A1181" s="475" t="s">
        <v>2574</v>
      </c>
      <c r="B1181" s="477">
        <v>0.47638888888888892</v>
      </c>
    </row>
    <row r="1182" spans="1:2" hidden="1" x14ac:dyDescent="0.25">
      <c r="A1182" s="475" t="s">
        <v>2575</v>
      </c>
      <c r="B1182" s="477">
        <v>0.47569444444444442</v>
      </c>
    </row>
    <row r="1183" spans="1:2" hidden="1" x14ac:dyDescent="0.25">
      <c r="A1183" s="475" t="s">
        <v>2576</v>
      </c>
      <c r="B1183" s="477">
        <v>0.47569444444444442</v>
      </c>
    </row>
    <row r="1184" spans="1:2" hidden="1" x14ac:dyDescent="0.25">
      <c r="A1184" s="475" t="s">
        <v>2577</v>
      </c>
      <c r="B1184" s="477">
        <v>0.47569444444444442</v>
      </c>
    </row>
    <row r="1185" spans="1:2" hidden="1" x14ac:dyDescent="0.25">
      <c r="A1185" s="475" t="s">
        <v>2578</v>
      </c>
      <c r="B1185" s="477">
        <v>0.47638888888888892</v>
      </c>
    </row>
    <row r="1186" spans="1:2" hidden="1" x14ac:dyDescent="0.25">
      <c r="A1186" s="475" t="s">
        <v>2579</v>
      </c>
      <c r="B1186" s="477">
        <v>0.47638888888888892</v>
      </c>
    </row>
    <row r="1187" spans="1:2" hidden="1" x14ac:dyDescent="0.25">
      <c r="A1187" s="475" t="s">
        <v>2580</v>
      </c>
      <c r="B1187" s="477">
        <v>0.47569444444444442</v>
      </c>
    </row>
    <row r="1188" spans="1:2" hidden="1" x14ac:dyDescent="0.25">
      <c r="A1188" s="475" t="s">
        <v>2581</v>
      </c>
      <c r="B1188" s="477">
        <v>0.47569444444444442</v>
      </c>
    </row>
    <row r="1189" spans="1:2" hidden="1" x14ac:dyDescent="0.25">
      <c r="A1189" s="475" t="s">
        <v>2582</v>
      </c>
      <c r="B1189" s="477">
        <v>0.47638888888888892</v>
      </c>
    </row>
    <row r="1190" spans="1:2" hidden="1" x14ac:dyDescent="0.25">
      <c r="A1190" s="475" t="s">
        <v>2583</v>
      </c>
      <c r="B1190" s="477">
        <v>0.47638888888888892</v>
      </c>
    </row>
    <row r="1191" spans="1:2" hidden="1" x14ac:dyDescent="0.25">
      <c r="A1191" s="475" t="s">
        <v>2584</v>
      </c>
      <c r="B1191" s="477">
        <v>0.47638888888888892</v>
      </c>
    </row>
    <row r="1192" spans="1:2" hidden="1" x14ac:dyDescent="0.25">
      <c r="A1192" s="475" t="s">
        <v>2585</v>
      </c>
      <c r="B1192" s="477">
        <v>0.47638888888888892</v>
      </c>
    </row>
    <row r="1193" spans="1:2" hidden="1" x14ac:dyDescent="0.25">
      <c r="A1193" s="475" t="s">
        <v>2586</v>
      </c>
      <c r="B1193" s="477">
        <v>0.47569444444444442</v>
      </c>
    </row>
    <row r="1194" spans="1:2" hidden="1" x14ac:dyDescent="0.25">
      <c r="A1194" s="475" t="s">
        <v>2587</v>
      </c>
      <c r="B1194" s="477">
        <v>0.47638888888888892</v>
      </c>
    </row>
    <row r="1195" spans="1:2" hidden="1" x14ac:dyDescent="0.25">
      <c r="A1195" s="475" t="s">
        <v>2588</v>
      </c>
      <c r="B1195" s="477">
        <v>0.47638888888888892</v>
      </c>
    </row>
    <row r="1196" spans="1:2" hidden="1" x14ac:dyDescent="0.25">
      <c r="A1196" s="475" t="s">
        <v>2589</v>
      </c>
      <c r="B1196" s="477">
        <v>0.47638888888888892</v>
      </c>
    </row>
    <row r="1197" spans="1:2" hidden="1" x14ac:dyDescent="0.25">
      <c r="A1197" s="475" t="s">
        <v>2590</v>
      </c>
      <c r="B1197" s="477">
        <v>0.47569444444444442</v>
      </c>
    </row>
    <row r="1198" spans="1:2" hidden="1" x14ac:dyDescent="0.25">
      <c r="A1198" s="475" t="s">
        <v>2591</v>
      </c>
      <c r="B1198" s="477">
        <v>0.47638888888888892</v>
      </c>
    </row>
    <row r="1199" spans="1:2" hidden="1" x14ac:dyDescent="0.25">
      <c r="A1199" s="475" t="s">
        <v>2592</v>
      </c>
      <c r="B1199" s="477">
        <v>0.47638888888888892</v>
      </c>
    </row>
    <row r="1200" spans="1:2" hidden="1" x14ac:dyDescent="0.25">
      <c r="A1200" s="475" t="s">
        <v>2593</v>
      </c>
      <c r="B1200" s="477">
        <v>0.47569444444444442</v>
      </c>
    </row>
    <row r="1201" spans="1:2" hidden="1" x14ac:dyDescent="0.25">
      <c r="A1201" s="475" t="s">
        <v>2594</v>
      </c>
      <c r="B1201" s="477">
        <v>0.47638888888888892</v>
      </c>
    </row>
    <row r="1202" spans="1:2" hidden="1" x14ac:dyDescent="0.25">
      <c r="A1202" s="475" t="s">
        <v>2595</v>
      </c>
      <c r="B1202" s="477">
        <v>0.47638888888888892</v>
      </c>
    </row>
    <row r="1203" spans="1:2" hidden="1" x14ac:dyDescent="0.25">
      <c r="A1203" s="475" t="s">
        <v>2596</v>
      </c>
      <c r="B1203" s="477">
        <v>0.47569444444444442</v>
      </c>
    </row>
    <row r="1204" spans="1:2" hidden="1" x14ac:dyDescent="0.25">
      <c r="A1204" s="475" t="s">
        <v>2597</v>
      </c>
      <c r="B1204" s="477">
        <v>0.47638888888888892</v>
      </c>
    </row>
    <row r="1205" spans="1:2" hidden="1" x14ac:dyDescent="0.25">
      <c r="A1205" s="475" t="s">
        <v>2598</v>
      </c>
      <c r="B1205" s="477">
        <v>0.47569444444444442</v>
      </c>
    </row>
    <row r="1206" spans="1:2" hidden="1" x14ac:dyDescent="0.25">
      <c r="A1206" s="475" t="s">
        <v>2599</v>
      </c>
      <c r="B1206" s="477">
        <v>0.47569444444444442</v>
      </c>
    </row>
    <row r="1207" spans="1:2" hidden="1" x14ac:dyDescent="0.25">
      <c r="A1207" s="475" t="s">
        <v>2600</v>
      </c>
      <c r="B1207" s="477">
        <v>0.47638888888888892</v>
      </c>
    </row>
    <row r="1208" spans="1:2" hidden="1" x14ac:dyDescent="0.25">
      <c r="A1208" s="475" t="s">
        <v>2601</v>
      </c>
      <c r="B1208" s="477">
        <v>0.47569444444444442</v>
      </c>
    </row>
    <row r="1209" spans="1:2" hidden="1" x14ac:dyDescent="0.25">
      <c r="A1209" s="475" t="s">
        <v>2602</v>
      </c>
      <c r="B1209" s="477">
        <v>0.47569444444444442</v>
      </c>
    </row>
    <row r="1210" spans="1:2" hidden="1" x14ac:dyDescent="0.25">
      <c r="A1210" s="475" t="s">
        <v>2603</v>
      </c>
      <c r="B1210" s="477">
        <v>0.47569444444444442</v>
      </c>
    </row>
    <row r="1211" spans="1:2" hidden="1" x14ac:dyDescent="0.25">
      <c r="A1211" s="475" t="s">
        <v>2604</v>
      </c>
      <c r="B1211" s="477">
        <v>0.47638888888888892</v>
      </c>
    </row>
    <row r="1212" spans="1:2" hidden="1" x14ac:dyDescent="0.25">
      <c r="A1212" s="475" t="s">
        <v>2605</v>
      </c>
      <c r="B1212" s="477">
        <v>0.47638888888888892</v>
      </c>
    </row>
    <row r="1213" spans="1:2" hidden="1" x14ac:dyDescent="0.25">
      <c r="A1213" s="475" t="s">
        <v>2606</v>
      </c>
      <c r="B1213" s="477">
        <v>0.47638888888888892</v>
      </c>
    </row>
    <row r="1214" spans="1:2" hidden="1" x14ac:dyDescent="0.25">
      <c r="A1214" s="475" t="s">
        <v>2607</v>
      </c>
      <c r="B1214" s="477">
        <v>0.47638888888888892</v>
      </c>
    </row>
    <row r="1215" spans="1:2" hidden="1" x14ac:dyDescent="0.25">
      <c r="A1215" s="475" t="s">
        <v>2608</v>
      </c>
      <c r="B1215" s="477">
        <v>0.47638888888888892</v>
      </c>
    </row>
    <row r="1216" spans="1:2" hidden="1" x14ac:dyDescent="0.25">
      <c r="A1216" s="475" t="s">
        <v>2609</v>
      </c>
      <c r="B1216" s="477">
        <v>0.47638888888888892</v>
      </c>
    </row>
    <row r="1217" spans="1:2" hidden="1" x14ac:dyDescent="0.25">
      <c r="A1217" s="475" t="s">
        <v>2610</v>
      </c>
      <c r="B1217" s="477">
        <v>0.47569444444444442</v>
      </c>
    </row>
    <row r="1218" spans="1:2" hidden="1" x14ac:dyDescent="0.25">
      <c r="A1218" s="475" t="s">
        <v>2611</v>
      </c>
      <c r="B1218" s="477">
        <v>0.47638888888888892</v>
      </c>
    </row>
    <row r="1219" spans="1:2" hidden="1" x14ac:dyDescent="0.25">
      <c r="A1219" s="475" t="s">
        <v>2612</v>
      </c>
      <c r="B1219" s="477">
        <v>0.47569444444444442</v>
      </c>
    </row>
    <row r="1220" spans="1:2" hidden="1" x14ac:dyDescent="0.25">
      <c r="A1220" s="475" t="s">
        <v>2613</v>
      </c>
      <c r="B1220" s="477">
        <v>0.47638888888888892</v>
      </c>
    </row>
    <row r="1221" spans="1:2" hidden="1" x14ac:dyDescent="0.25">
      <c r="A1221" s="475" t="s">
        <v>2614</v>
      </c>
      <c r="B1221" s="477">
        <v>0.47638888888888892</v>
      </c>
    </row>
    <row r="1222" spans="1:2" hidden="1" x14ac:dyDescent="0.25">
      <c r="A1222" s="475" t="s">
        <v>2615</v>
      </c>
      <c r="B1222" s="477">
        <v>0.47638888888888892</v>
      </c>
    </row>
    <row r="1223" spans="1:2" hidden="1" x14ac:dyDescent="0.25">
      <c r="A1223" s="475" t="s">
        <v>2616</v>
      </c>
      <c r="B1223" s="477">
        <v>0.47569444444444442</v>
      </c>
    </row>
    <row r="1224" spans="1:2" hidden="1" x14ac:dyDescent="0.25">
      <c r="A1224" s="475" t="s">
        <v>2617</v>
      </c>
      <c r="B1224" s="477">
        <v>0.47638888888888892</v>
      </c>
    </row>
    <row r="1225" spans="1:2" hidden="1" x14ac:dyDescent="0.25">
      <c r="A1225" s="475" t="s">
        <v>2618</v>
      </c>
      <c r="B1225" s="477">
        <v>0.47638888888888892</v>
      </c>
    </row>
    <row r="1226" spans="1:2" hidden="1" x14ac:dyDescent="0.25">
      <c r="A1226" s="475" t="s">
        <v>2619</v>
      </c>
      <c r="B1226" s="477">
        <v>0.47638888888888892</v>
      </c>
    </row>
    <row r="1227" spans="1:2" hidden="1" x14ac:dyDescent="0.25">
      <c r="A1227" s="475" t="s">
        <v>2620</v>
      </c>
      <c r="B1227" s="477">
        <v>0.47638888888888892</v>
      </c>
    </row>
    <row r="1228" spans="1:2" hidden="1" x14ac:dyDescent="0.25">
      <c r="A1228" s="475" t="s">
        <v>2621</v>
      </c>
      <c r="B1228" s="477">
        <v>0.47569444444444442</v>
      </c>
    </row>
    <row r="1229" spans="1:2" hidden="1" x14ac:dyDescent="0.25">
      <c r="A1229" s="475" t="s">
        <v>2622</v>
      </c>
      <c r="B1229" s="477">
        <v>0.47638888888888892</v>
      </c>
    </row>
    <row r="1230" spans="1:2" hidden="1" x14ac:dyDescent="0.25">
      <c r="A1230" s="475" t="s">
        <v>2623</v>
      </c>
      <c r="B1230" s="477">
        <v>0.47638888888888892</v>
      </c>
    </row>
    <row r="1231" spans="1:2" hidden="1" x14ac:dyDescent="0.25">
      <c r="A1231" s="475" t="s">
        <v>2624</v>
      </c>
      <c r="B1231" s="477">
        <v>0.47638888888888892</v>
      </c>
    </row>
    <row r="1232" spans="1:2" hidden="1" x14ac:dyDescent="0.25">
      <c r="A1232" s="475" t="s">
        <v>2625</v>
      </c>
      <c r="B1232" s="477">
        <v>0.47638888888888892</v>
      </c>
    </row>
    <row r="1233" spans="1:2" hidden="1" x14ac:dyDescent="0.25">
      <c r="A1233" s="475" t="s">
        <v>2626</v>
      </c>
      <c r="B1233" s="477">
        <v>0.47569444444444442</v>
      </c>
    </row>
    <row r="1234" spans="1:2" hidden="1" x14ac:dyDescent="0.25">
      <c r="A1234" s="475" t="s">
        <v>2627</v>
      </c>
      <c r="B1234" s="477">
        <v>0.47569444444444442</v>
      </c>
    </row>
    <row r="1235" spans="1:2" hidden="1" x14ac:dyDescent="0.25">
      <c r="A1235" s="475" t="s">
        <v>2628</v>
      </c>
      <c r="B1235" s="477">
        <v>0.47569444444444442</v>
      </c>
    </row>
    <row r="1236" spans="1:2" hidden="1" x14ac:dyDescent="0.25">
      <c r="A1236" s="475" t="s">
        <v>2629</v>
      </c>
      <c r="B1236" s="477">
        <v>0.47638888888888892</v>
      </c>
    </row>
    <row r="1237" spans="1:2" hidden="1" x14ac:dyDescent="0.25">
      <c r="A1237" s="475" t="s">
        <v>2630</v>
      </c>
      <c r="B1237" s="477">
        <v>0.47569444444444442</v>
      </c>
    </row>
    <row r="1238" spans="1:2" hidden="1" x14ac:dyDescent="0.25">
      <c r="A1238" s="475" t="s">
        <v>2631</v>
      </c>
      <c r="B1238" s="477">
        <v>0.47569444444444442</v>
      </c>
    </row>
    <row r="1239" spans="1:2" hidden="1" x14ac:dyDescent="0.25">
      <c r="A1239" s="475" t="s">
        <v>2632</v>
      </c>
      <c r="B1239" s="477">
        <v>0.47638888888888892</v>
      </c>
    </row>
    <row r="1240" spans="1:2" hidden="1" x14ac:dyDescent="0.25">
      <c r="A1240" s="475" t="s">
        <v>2633</v>
      </c>
      <c r="B1240" s="477">
        <v>0.47569444444444442</v>
      </c>
    </row>
    <row r="1241" spans="1:2" hidden="1" x14ac:dyDescent="0.25">
      <c r="A1241" s="475" t="s">
        <v>2634</v>
      </c>
      <c r="B1241" s="477">
        <v>0.47569444444444442</v>
      </c>
    </row>
    <row r="1242" spans="1:2" hidden="1" x14ac:dyDescent="0.25">
      <c r="A1242" s="475" t="s">
        <v>2635</v>
      </c>
      <c r="B1242" s="477">
        <v>0.47569444444444442</v>
      </c>
    </row>
    <row r="1243" spans="1:2" hidden="1" x14ac:dyDescent="0.25">
      <c r="A1243" s="475" t="s">
        <v>2636</v>
      </c>
      <c r="B1243" s="477">
        <v>0.47638888888888892</v>
      </c>
    </row>
    <row r="1244" spans="1:2" hidden="1" x14ac:dyDescent="0.25">
      <c r="A1244" s="475" t="s">
        <v>2637</v>
      </c>
      <c r="B1244" s="477">
        <v>0.47569444444444442</v>
      </c>
    </row>
    <row r="1245" spans="1:2" hidden="1" x14ac:dyDescent="0.25">
      <c r="A1245" s="475" t="s">
        <v>2638</v>
      </c>
      <c r="B1245" s="477">
        <v>0.47638888888888892</v>
      </c>
    </row>
    <row r="1246" spans="1:2" hidden="1" x14ac:dyDescent="0.25">
      <c r="A1246" s="475" t="s">
        <v>2639</v>
      </c>
      <c r="B1246" s="477">
        <v>0.47638888888888892</v>
      </c>
    </row>
    <row r="1247" spans="1:2" hidden="1" x14ac:dyDescent="0.25">
      <c r="A1247" s="475" t="s">
        <v>2640</v>
      </c>
      <c r="B1247" s="477">
        <v>0.47638888888888892</v>
      </c>
    </row>
    <row r="1248" spans="1:2" hidden="1" x14ac:dyDescent="0.25">
      <c r="A1248" s="475" t="s">
        <v>2641</v>
      </c>
      <c r="B1248" s="477">
        <v>0.47569444444444442</v>
      </c>
    </row>
    <row r="1249" spans="1:2" hidden="1" x14ac:dyDescent="0.25">
      <c r="A1249" s="475" t="s">
        <v>2642</v>
      </c>
      <c r="B1249" s="477">
        <v>0.47569444444444442</v>
      </c>
    </row>
    <row r="1250" spans="1:2" hidden="1" x14ac:dyDescent="0.25">
      <c r="A1250" s="475" t="s">
        <v>2643</v>
      </c>
      <c r="B1250" s="477">
        <v>0.47569444444444442</v>
      </c>
    </row>
    <row r="1251" spans="1:2" hidden="1" x14ac:dyDescent="0.25">
      <c r="A1251" s="475" t="s">
        <v>2644</v>
      </c>
      <c r="B1251" s="477">
        <v>0.47569444444444442</v>
      </c>
    </row>
    <row r="1252" spans="1:2" hidden="1" x14ac:dyDescent="0.25">
      <c r="A1252" s="475" t="s">
        <v>2645</v>
      </c>
      <c r="B1252" s="477">
        <v>0.47638888888888892</v>
      </c>
    </row>
    <row r="1253" spans="1:2" hidden="1" x14ac:dyDescent="0.25">
      <c r="A1253" s="475" t="s">
        <v>2646</v>
      </c>
      <c r="B1253" s="477">
        <v>0.47638888888888892</v>
      </c>
    </row>
    <row r="1254" spans="1:2" hidden="1" x14ac:dyDescent="0.25">
      <c r="A1254" s="475" t="s">
        <v>2647</v>
      </c>
      <c r="B1254" s="477">
        <v>0.47430555555555554</v>
      </c>
    </row>
    <row r="1255" spans="1:2" hidden="1" x14ac:dyDescent="0.25">
      <c r="A1255" s="475" t="s">
        <v>2648</v>
      </c>
      <c r="B1255" s="477">
        <v>0.47500000000000003</v>
      </c>
    </row>
    <row r="1256" spans="1:2" hidden="1" x14ac:dyDescent="0.25">
      <c r="A1256" s="475" t="s">
        <v>2649</v>
      </c>
      <c r="B1256" s="477">
        <v>0.47500000000000003</v>
      </c>
    </row>
    <row r="1257" spans="1:2" hidden="1" x14ac:dyDescent="0.25">
      <c r="A1257" s="475" t="s">
        <v>2650</v>
      </c>
      <c r="B1257" s="477">
        <v>0.47500000000000003</v>
      </c>
    </row>
    <row r="1258" spans="1:2" hidden="1" x14ac:dyDescent="0.25">
      <c r="A1258" s="475" t="s">
        <v>2651</v>
      </c>
      <c r="B1258" s="477">
        <v>0.47500000000000003</v>
      </c>
    </row>
    <row r="1259" spans="1:2" hidden="1" x14ac:dyDescent="0.25">
      <c r="A1259" s="475" t="s">
        <v>2652</v>
      </c>
      <c r="B1259" s="477">
        <v>0.47500000000000003</v>
      </c>
    </row>
    <row r="1260" spans="1:2" hidden="1" x14ac:dyDescent="0.25">
      <c r="A1260" s="475" t="s">
        <v>2653</v>
      </c>
      <c r="B1260" s="477">
        <v>0.47500000000000003</v>
      </c>
    </row>
    <row r="1261" spans="1:2" hidden="1" x14ac:dyDescent="0.25">
      <c r="A1261" s="475" t="s">
        <v>2654</v>
      </c>
      <c r="B1261" s="477">
        <v>0.47500000000000003</v>
      </c>
    </row>
    <row r="1262" spans="1:2" hidden="1" x14ac:dyDescent="0.25">
      <c r="A1262" s="475" t="s">
        <v>2655</v>
      </c>
      <c r="B1262" s="477">
        <v>0.47569444444444442</v>
      </c>
    </row>
    <row r="1263" spans="1:2" hidden="1" x14ac:dyDescent="0.25">
      <c r="A1263" s="475" t="s">
        <v>2656</v>
      </c>
      <c r="B1263" s="477">
        <v>0.47500000000000003</v>
      </c>
    </row>
    <row r="1264" spans="1:2" hidden="1" x14ac:dyDescent="0.25">
      <c r="A1264" s="475" t="s">
        <v>2657</v>
      </c>
      <c r="B1264" s="477">
        <v>0.47500000000000003</v>
      </c>
    </row>
    <row r="1265" spans="1:2" hidden="1" x14ac:dyDescent="0.25">
      <c r="A1265" s="475" t="s">
        <v>2658</v>
      </c>
      <c r="B1265" s="477">
        <v>0.47500000000000003</v>
      </c>
    </row>
    <row r="1266" spans="1:2" hidden="1" x14ac:dyDescent="0.25">
      <c r="A1266" s="475" t="s">
        <v>2659</v>
      </c>
      <c r="B1266" s="477">
        <v>0.47430555555555554</v>
      </c>
    </row>
    <row r="1267" spans="1:2" hidden="1" x14ac:dyDescent="0.25">
      <c r="A1267" s="475" t="s">
        <v>2660</v>
      </c>
      <c r="B1267" s="477">
        <v>0.47569444444444442</v>
      </c>
    </row>
    <row r="1268" spans="1:2" hidden="1" x14ac:dyDescent="0.25">
      <c r="A1268" s="475" t="s">
        <v>2661</v>
      </c>
      <c r="B1268" s="477">
        <v>0.47500000000000003</v>
      </c>
    </row>
    <row r="1269" spans="1:2" hidden="1" x14ac:dyDescent="0.25">
      <c r="A1269" s="475" t="s">
        <v>2662</v>
      </c>
      <c r="B1269" s="477">
        <v>0.47500000000000003</v>
      </c>
    </row>
    <row r="1270" spans="1:2" hidden="1" x14ac:dyDescent="0.25">
      <c r="A1270" s="475" t="s">
        <v>2663</v>
      </c>
      <c r="B1270" s="477">
        <v>0.47500000000000003</v>
      </c>
    </row>
    <row r="1271" spans="1:2" hidden="1" x14ac:dyDescent="0.25">
      <c r="A1271" s="475" t="s">
        <v>2664</v>
      </c>
      <c r="B1271" s="477">
        <v>0.47430555555555554</v>
      </c>
    </row>
    <row r="1272" spans="1:2" hidden="1" x14ac:dyDescent="0.25">
      <c r="A1272" s="475" t="s">
        <v>2665</v>
      </c>
      <c r="B1272" s="477">
        <v>0.47500000000000003</v>
      </c>
    </row>
    <row r="1273" spans="1:2" hidden="1" x14ac:dyDescent="0.25">
      <c r="A1273" s="475" t="s">
        <v>2666</v>
      </c>
      <c r="B1273" s="477">
        <v>0.47569444444444442</v>
      </c>
    </row>
    <row r="1274" spans="1:2" hidden="1" x14ac:dyDescent="0.25">
      <c r="A1274" s="475" t="s">
        <v>2667</v>
      </c>
      <c r="B1274" s="477">
        <v>0.47500000000000003</v>
      </c>
    </row>
    <row r="1275" spans="1:2" hidden="1" x14ac:dyDescent="0.25">
      <c r="A1275" s="475" t="s">
        <v>2668</v>
      </c>
      <c r="B1275" s="477">
        <v>0.47430555555555554</v>
      </c>
    </row>
    <row r="1276" spans="1:2" hidden="1" x14ac:dyDescent="0.25">
      <c r="A1276" s="475" t="s">
        <v>2669</v>
      </c>
      <c r="B1276" s="477">
        <v>0.47500000000000003</v>
      </c>
    </row>
    <row r="1277" spans="1:2" hidden="1" x14ac:dyDescent="0.25">
      <c r="A1277" s="475" t="s">
        <v>2670</v>
      </c>
      <c r="B1277" s="477">
        <v>0.47500000000000003</v>
      </c>
    </row>
    <row r="1278" spans="1:2" hidden="1" x14ac:dyDescent="0.25">
      <c r="A1278" s="475" t="s">
        <v>2671</v>
      </c>
      <c r="B1278" s="477">
        <v>0.47430555555555554</v>
      </c>
    </row>
    <row r="1279" spans="1:2" hidden="1" x14ac:dyDescent="0.25">
      <c r="A1279" s="475" t="s">
        <v>2672</v>
      </c>
      <c r="B1279" s="477">
        <v>0.47361111111111115</v>
      </c>
    </row>
    <row r="1280" spans="1:2" hidden="1" x14ac:dyDescent="0.25">
      <c r="A1280" s="475" t="s">
        <v>2673</v>
      </c>
      <c r="B1280" s="477">
        <v>0.47500000000000003</v>
      </c>
    </row>
    <row r="1281" spans="1:2" hidden="1" x14ac:dyDescent="0.25">
      <c r="A1281" s="475" t="s">
        <v>2674</v>
      </c>
      <c r="B1281" s="477">
        <v>0.47500000000000003</v>
      </c>
    </row>
    <row r="1282" spans="1:2" hidden="1" x14ac:dyDescent="0.25">
      <c r="A1282" s="475" t="s">
        <v>2675</v>
      </c>
      <c r="B1282" s="477">
        <v>0.47500000000000003</v>
      </c>
    </row>
    <row r="1283" spans="1:2" hidden="1" x14ac:dyDescent="0.25">
      <c r="A1283" s="475" t="s">
        <v>2676</v>
      </c>
      <c r="B1283" s="477">
        <v>0.47430555555555554</v>
      </c>
    </row>
    <row r="1284" spans="1:2" hidden="1" x14ac:dyDescent="0.25">
      <c r="A1284" s="475" t="s">
        <v>2677</v>
      </c>
      <c r="B1284" s="477">
        <v>0.47430555555555554</v>
      </c>
    </row>
    <row r="1285" spans="1:2" hidden="1" x14ac:dyDescent="0.25">
      <c r="A1285" s="475" t="s">
        <v>2678</v>
      </c>
      <c r="B1285" s="477">
        <v>0.47500000000000003</v>
      </c>
    </row>
    <row r="1286" spans="1:2" hidden="1" x14ac:dyDescent="0.25">
      <c r="A1286" s="475" t="s">
        <v>2679</v>
      </c>
      <c r="B1286" s="477">
        <v>0.47500000000000003</v>
      </c>
    </row>
    <row r="1287" spans="1:2" hidden="1" x14ac:dyDescent="0.25">
      <c r="A1287" s="475" t="s">
        <v>2680</v>
      </c>
      <c r="B1287" s="477">
        <v>0.47430555555555554</v>
      </c>
    </row>
    <row r="1288" spans="1:2" hidden="1" x14ac:dyDescent="0.25">
      <c r="A1288" s="475" t="s">
        <v>2681</v>
      </c>
      <c r="B1288" s="477">
        <v>0.47569444444444442</v>
      </c>
    </row>
    <row r="1289" spans="1:2" hidden="1" x14ac:dyDescent="0.25">
      <c r="A1289" s="475" t="s">
        <v>2682</v>
      </c>
      <c r="B1289" s="477">
        <v>0.47430555555555554</v>
      </c>
    </row>
    <row r="1290" spans="1:2" hidden="1" x14ac:dyDescent="0.25">
      <c r="A1290" s="475" t="s">
        <v>2683</v>
      </c>
      <c r="B1290" s="477">
        <v>0.47430555555555554</v>
      </c>
    </row>
    <row r="1291" spans="1:2" hidden="1" x14ac:dyDescent="0.25">
      <c r="A1291" s="475" t="s">
        <v>2684</v>
      </c>
      <c r="B1291" s="477">
        <v>0.47500000000000003</v>
      </c>
    </row>
    <row r="1292" spans="1:2" hidden="1" x14ac:dyDescent="0.25">
      <c r="A1292" s="475" t="s">
        <v>2685</v>
      </c>
      <c r="B1292" s="477">
        <v>0.47500000000000003</v>
      </c>
    </row>
    <row r="1293" spans="1:2" hidden="1" x14ac:dyDescent="0.25">
      <c r="A1293" s="475" t="s">
        <v>2686</v>
      </c>
      <c r="B1293" s="477">
        <v>0.47500000000000003</v>
      </c>
    </row>
    <row r="1294" spans="1:2" hidden="1" x14ac:dyDescent="0.25">
      <c r="A1294" s="475" t="s">
        <v>2687</v>
      </c>
      <c r="B1294" s="477">
        <v>0.47500000000000003</v>
      </c>
    </row>
    <row r="1295" spans="1:2" hidden="1" x14ac:dyDescent="0.25">
      <c r="A1295" s="475" t="s">
        <v>2688</v>
      </c>
      <c r="B1295" s="477">
        <v>0.47500000000000003</v>
      </c>
    </row>
    <row r="1296" spans="1:2" hidden="1" x14ac:dyDescent="0.25">
      <c r="A1296" s="475" t="s">
        <v>2689</v>
      </c>
      <c r="B1296" s="477">
        <v>0.47500000000000003</v>
      </c>
    </row>
    <row r="1297" spans="1:2" hidden="1" x14ac:dyDescent="0.25">
      <c r="A1297" s="475" t="s">
        <v>2690</v>
      </c>
      <c r="B1297" s="477">
        <v>0.47500000000000003</v>
      </c>
    </row>
    <row r="1298" spans="1:2" hidden="1" x14ac:dyDescent="0.25">
      <c r="A1298" s="475" t="s">
        <v>2691</v>
      </c>
      <c r="B1298" s="477">
        <v>0.47500000000000003</v>
      </c>
    </row>
    <row r="1299" spans="1:2" hidden="1" x14ac:dyDescent="0.25">
      <c r="A1299" s="475" t="s">
        <v>2692</v>
      </c>
      <c r="B1299" s="477">
        <v>0.47500000000000003</v>
      </c>
    </row>
    <row r="1300" spans="1:2" hidden="1" x14ac:dyDescent="0.25">
      <c r="A1300" s="475" t="s">
        <v>2693</v>
      </c>
      <c r="B1300" s="477">
        <v>0.47500000000000003</v>
      </c>
    </row>
    <row r="1301" spans="1:2" hidden="1" x14ac:dyDescent="0.25">
      <c r="A1301" s="475" t="s">
        <v>2694</v>
      </c>
      <c r="B1301" s="477">
        <v>0.47500000000000003</v>
      </c>
    </row>
    <row r="1302" spans="1:2" hidden="1" x14ac:dyDescent="0.25">
      <c r="A1302" s="475" t="s">
        <v>2695</v>
      </c>
      <c r="B1302" s="477">
        <v>0.47500000000000003</v>
      </c>
    </row>
    <row r="1303" spans="1:2" hidden="1" x14ac:dyDescent="0.25">
      <c r="A1303" s="475" t="s">
        <v>2696</v>
      </c>
      <c r="B1303" s="477">
        <v>0.47500000000000003</v>
      </c>
    </row>
    <row r="1304" spans="1:2" hidden="1" x14ac:dyDescent="0.25">
      <c r="A1304" s="475" t="s">
        <v>2697</v>
      </c>
      <c r="B1304" s="477">
        <v>0.47500000000000003</v>
      </c>
    </row>
    <row r="1305" spans="1:2" hidden="1" x14ac:dyDescent="0.25">
      <c r="A1305" s="475" t="s">
        <v>2698</v>
      </c>
      <c r="B1305" s="477">
        <v>0.47500000000000003</v>
      </c>
    </row>
    <row r="1306" spans="1:2" hidden="1" x14ac:dyDescent="0.25">
      <c r="A1306" s="475" t="s">
        <v>2699</v>
      </c>
      <c r="B1306" s="477">
        <v>0.47500000000000003</v>
      </c>
    </row>
    <row r="1307" spans="1:2" hidden="1" x14ac:dyDescent="0.25">
      <c r="A1307" s="475" t="s">
        <v>2700</v>
      </c>
      <c r="B1307" s="477">
        <v>0.47500000000000003</v>
      </c>
    </row>
    <row r="1308" spans="1:2" hidden="1" x14ac:dyDescent="0.25">
      <c r="A1308" s="475" t="s">
        <v>2701</v>
      </c>
      <c r="B1308" s="477">
        <v>0.47500000000000003</v>
      </c>
    </row>
    <row r="1309" spans="1:2" hidden="1" x14ac:dyDescent="0.25">
      <c r="A1309" s="475" t="s">
        <v>2702</v>
      </c>
      <c r="B1309" s="477">
        <v>0.47500000000000003</v>
      </c>
    </row>
    <row r="1310" spans="1:2" hidden="1" x14ac:dyDescent="0.25">
      <c r="A1310" s="475" t="s">
        <v>2703</v>
      </c>
      <c r="B1310" s="477">
        <v>0.47500000000000003</v>
      </c>
    </row>
    <row r="1311" spans="1:2" hidden="1" x14ac:dyDescent="0.25">
      <c r="A1311" s="475" t="s">
        <v>2704</v>
      </c>
      <c r="B1311" s="477">
        <v>0.47430555555555554</v>
      </c>
    </row>
    <row r="1312" spans="1:2" hidden="1" x14ac:dyDescent="0.25">
      <c r="A1312" s="475" t="s">
        <v>2705</v>
      </c>
      <c r="B1312" s="477">
        <v>0.47430555555555554</v>
      </c>
    </row>
    <row r="1313" spans="1:2" hidden="1" x14ac:dyDescent="0.25">
      <c r="A1313" s="475" t="s">
        <v>2706</v>
      </c>
      <c r="B1313" s="477">
        <v>0.47500000000000003</v>
      </c>
    </row>
    <row r="1314" spans="1:2" hidden="1" x14ac:dyDescent="0.25">
      <c r="A1314" s="475" t="s">
        <v>2707</v>
      </c>
      <c r="B1314" s="477">
        <v>0.47500000000000003</v>
      </c>
    </row>
    <row r="1315" spans="1:2" hidden="1" x14ac:dyDescent="0.25">
      <c r="A1315" s="475" t="s">
        <v>2708</v>
      </c>
      <c r="B1315" s="477">
        <v>0.47500000000000003</v>
      </c>
    </row>
    <row r="1316" spans="1:2" hidden="1" x14ac:dyDescent="0.25">
      <c r="A1316" s="475" t="s">
        <v>2709</v>
      </c>
      <c r="B1316" s="477">
        <v>0.47500000000000003</v>
      </c>
    </row>
    <row r="1317" spans="1:2" hidden="1" x14ac:dyDescent="0.25">
      <c r="A1317" s="475" t="s">
        <v>2710</v>
      </c>
      <c r="B1317" s="477">
        <v>0.47500000000000003</v>
      </c>
    </row>
    <row r="1318" spans="1:2" hidden="1" x14ac:dyDescent="0.25">
      <c r="A1318" s="475" t="s">
        <v>2711</v>
      </c>
      <c r="B1318" s="477">
        <v>0.47569444444444442</v>
      </c>
    </row>
    <row r="1319" spans="1:2" hidden="1" x14ac:dyDescent="0.25">
      <c r="A1319" s="475" t="s">
        <v>2712</v>
      </c>
      <c r="B1319" s="477">
        <v>0.47430555555555554</v>
      </c>
    </row>
    <row r="1320" spans="1:2" hidden="1" x14ac:dyDescent="0.25">
      <c r="A1320" s="475" t="s">
        <v>2713</v>
      </c>
      <c r="B1320" s="477">
        <v>0.47500000000000003</v>
      </c>
    </row>
    <row r="1321" spans="1:2" hidden="1" x14ac:dyDescent="0.25">
      <c r="A1321" s="475" t="s">
        <v>2714</v>
      </c>
      <c r="B1321" s="477">
        <v>0.47500000000000003</v>
      </c>
    </row>
    <row r="1322" spans="1:2" hidden="1" x14ac:dyDescent="0.25">
      <c r="A1322" s="475" t="s">
        <v>2715</v>
      </c>
      <c r="B1322" s="477">
        <v>0.47500000000000003</v>
      </c>
    </row>
    <row r="1323" spans="1:2" hidden="1" x14ac:dyDescent="0.25">
      <c r="A1323" s="475" t="s">
        <v>2716</v>
      </c>
      <c r="B1323" s="477">
        <v>0.47500000000000003</v>
      </c>
    </row>
    <row r="1324" spans="1:2" hidden="1" x14ac:dyDescent="0.25">
      <c r="A1324" s="475" t="s">
        <v>2717</v>
      </c>
      <c r="B1324" s="477">
        <v>0.47500000000000003</v>
      </c>
    </row>
    <row r="1325" spans="1:2" hidden="1" x14ac:dyDescent="0.25">
      <c r="A1325" s="475" t="s">
        <v>2718</v>
      </c>
      <c r="B1325" s="477">
        <v>0.47500000000000003</v>
      </c>
    </row>
    <row r="1326" spans="1:2" hidden="1" x14ac:dyDescent="0.25">
      <c r="A1326" s="475" t="s">
        <v>2719</v>
      </c>
      <c r="B1326" s="477">
        <v>0.47500000000000003</v>
      </c>
    </row>
    <row r="1327" spans="1:2" hidden="1" x14ac:dyDescent="0.25">
      <c r="A1327" s="475" t="s">
        <v>2720</v>
      </c>
      <c r="B1327" s="477">
        <v>0.47500000000000003</v>
      </c>
    </row>
    <row r="1328" spans="1:2" hidden="1" x14ac:dyDescent="0.25">
      <c r="A1328" s="475" t="s">
        <v>2721</v>
      </c>
      <c r="B1328" s="477">
        <v>0.47500000000000003</v>
      </c>
    </row>
    <row r="1329" spans="1:2" hidden="1" x14ac:dyDescent="0.25">
      <c r="A1329" s="475" t="s">
        <v>2722</v>
      </c>
      <c r="B1329" s="477">
        <v>0.47500000000000003</v>
      </c>
    </row>
    <row r="1330" spans="1:2" hidden="1" x14ac:dyDescent="0.25">
      <c r="A1330" s="475" t="s">
        <v>2723</v>
      </c>
      <c r="B1330" s="477">
        <v>0.47430555555555554</v>
      </c>
    </row>
    <row r="1331" spans="1:2" hidden="1" x14ac:dyDescent="0.25">
      <c r="A1331" s="475" t="s">
        <v>2724</v>
      </c>
      <c r="B1331" s="477">
        <v>0.47500000000000003</v>
      </c>
    </row>
    <row r="1332" spans="1:2" hidden="1" x14ac:dyDescent="0.25">
      <c r="A1332" s="475" t="s">
        <v>2725</v>
      </c>
      <c r="B1332" s="477">
        <v>0.47430555555555554</v>
      </c>
    </row>
    <row r="1333" spans="1:2" hidden="1" x14ac:dyDescent="0.25">
      <c r="A1333" s="475" t="s">
        <v>2726</v>
      </c>
      <c r="B1333" s="477">
        <v>0.47500000000000003</v>
      </c>
    </row>
    <row r="1334" spans="1:2" hidden="1" x14ac:dyDescent="0.25">
      <c r="A1334" s="475" t="s">
        <v>2727</v>
      </c>
      <c r="B1334" s="477">
        <v>0.47500000000000003</v>
      </c>
    </row>
    <row r="1335" spans="1:2" hidden="1" x14ac:dyDescent="0.25">
      <c r="A1335" s="475" t="s">
        <v>2728</v>
      </c>
      <c r="B1335" s="477">
        <v>0.47500000000000003</v>
      </c>
    </row>
    <row r="1336" spans="1:2" hidden="1" x14ac:dyDescent="0.25">
      <c r="A1336" s="475" t="s">
        <v>2729</v>
      </c>
      <c r="B1336" s="477">
        <v>0.47500000000000003</v>
      </c>
    </row>
    <row r="1337" spans="1:2" hidden="1" x14ac:dyDescent="0.25">
      <c r="A1337" s="475" t="s">
        <v>2730</v>
      </c>
      <c r="B1337" s="477">
        <v>0.47500000000000003</v>
      </c>
    </row>
    <row r="1338" spans="1:2" hidden="1" x14ac:dyDescent="0.25">
      <c r="A1338" s="475" t="s">
        <v>2731</v>
      </c>
      <c r="B1338" s="477">
        <v>0.47430555555555554</v>
      </c>
    </row>
    <row r="1339" spans="1:2" hidden="1" x14ac:dyDescent="0.25">
      <c r="A1339" s="475" t="s">
        <v>2732</v>
      </c>
      <c r="B1339" s="477">
        <v>0.47500000000000003</v>
      </c>
    </row>
    <row r="1340" spans="1:2" hidden="1" x14ac:dyDescent="0.25">
      <c r="A1340" s="475" t="s">
        <v>2733</v>
      </c>
      <c r="B1340" s="477">
        <v>0.47500000000000003</v>
      </c>
    </row>
    <row r="1341" spans="1:2" hidden="1" x14ac:dyDescent="0.25">
      <c r="A1341" s="475" t="s">
        <v>2734</v>
      </c>
      <c r="B1341" s="477">
        <v>0.47430555555555554</v>
      </c>
    </row>
    <row r="1342" spans="1:2" hidden="1" x14ac:dyDescent="0.25">
      <c r="A1342" s="475" t="s">
        <v>2735</v>
      </c>
      <c r="B1342" s="477">
        <v>0.47500000000000003</v>
      </c>
    </row>
    <row r="1343" spans="1:2" hidden="1" x14ac:dyDescent="0.25">
      <c r="A1343" s="475" t="s">
        <v>2736</v>
      </c>
      <c r="B1343" s="477">
        <v>0.47500000000000003</v>
      </c>
    </row>
    <row r="1344" spans="1:2" hidden="1" x14ac:dyDescent="0.25">
      <c r="A1344" s="475" t="s">
        <v>2737</v>
      </c>
      <c r="B1344" s="477">
        <v>0.47500000000000003</v>
      </c>
    </row>
    <row r="1345" spans="1:2" hidden="1" x14ac:dyDescent="0.25">
      <c r="A1345" s="475" t="s">
        <v>2738</v>
      </c>
      <c r="B1345" s="477">
        <v>0.47500000000000003</v>
      </c>
    </row>
    <row r="1346" spans="1:2" hidden="1" x14ac:dyDescent="0.25">
      <c r="A1346" s="475" t="s">
        <v>2739</v>
      </c>
      <c r="B1346" s="477">
        <v>0.47500000000000003</v>
      </c>
    </row>
    <row r="1347" spans="1:2" hidden="1" x14ac:dyDescent="0.25">
      <c r="A1347" s="475" t="s">
        <v>2740</v>
      </c>
      <c r="B1347" s="477">
        <v>0.47500000000000003</v>
      </c>
    </row>
    <row r="1348" spans="1:2" hidden="1" x14ac:dyDescent="0.25">
      <c r="A1348" s="475" t="s">
        <v>2741</v>
      </c>
      <c r="B1348" s="477">
        <v>0.47500000000000003</v>
      </c>
    </row>
    <row r="1349" spans="1:2" hidden="1" x14ac:dyDescent="0.25">
      <c r="A1349" s="475" t="s">
        <v>2742</v>
      </c>
      <c r="B1349" s="477">
        <v>0.47500000000000003</v>
      </c>
    </row>
    <row r="1350" spans="1:2" hidden="1" x14ac:dyDescent="0.25">
      <c r="A1350" s="475" t="s">
        <v>2743</v>
      </c>
      <c r="B1350" s="477">
        <v>0.47500000000000003</v>
      </c>
    </row>
    <row r="1351" spans="1:2" hidden="1" x14ac:dyDescent="0.25">
      <c r="A1351" s="475" t="s">
        <v>2744</v>
      </c>
      <c r="B1351" s="477">
        <v>0.47430555555555554</v>
      </c>
    </row>
    <row r="1352" spans="1:2" hidden="1" x14ac:dyDescent="0.25">
      <c r="A1352" s="475" t="s">
        <v>2745</v>
      </c>
      <c r="B1352" s="477">
        <v>0.47500000000000003</v>
      </c>
    </row>
    <row r="1353" spans="1:2" hidden="1" x14ac:dyDescent="0.25">
      <c r="A1353" s="475" t="s">
        <v>2746</v>
      </c>
      <c r="B1353" s="477">
        <v>0.47500000000000003</v>
      </c>
    </row>
    <row r="1354" spans="1:2" hidden="1" x14ac:dyDescent="0.25">
      <c r="A1354" s="475" t="s">
        <v>2747</v>
      </c>
      <c r="B1354" s="477">
        <v>0.47430555555555554</v>
      </c>
    </row>
    <row r="1355" spans="1:2" hidden="1" x14ac:dyDescent="0.25">
      <c r="A1355" s="475" t="s">
        <v>2748</v>
      </c>
      <c r="B1355" s="477">
        <v>0.47500000000000003</v>
      </c>
    </row>
    <row r="1356" spans="1:2" hidden="1" x14ac:dyDescent="0.25">
      <c r="A1356" s="475" t="s">
        <v>2749</v>
      </c>
      <c r="B1356" s="477">
        <v>0.47500000000000003</v>
      </c>
    </row>
    <row r="1357" spans="1:2" hidden="1" x14ac:dyDescent="0.25">
      <c r="A1357" s="475" t="s">
        <v>2750</v>
      </c>
      <c r="B1357" s="477">
        <v>0.47500000000000003</v>
      </c>
    </row>
    <row r="1358" spans="1:2" hidden="1" x14ac:dyDescent="0.25">
      <c r="A1358" s="475" t="s">
        <v>2751</v>
      </c>
      <c r="B1358" s="477">
        <v>0.47500000000000003</v>
      </c>
    </row>
    <row r="1359" spans="1:2" hidden="1" x14ac:dyDescent="0.25">
      <c r="A1359" s="475" t="s">
        <v>2752</v>
      </c>
      <c r="B1359" s="477">
        <v>0.47500000000000003</v>
      </c>
    </row>
    <row r="1360" spans="1:2" hidden="1" x14ac:dyDescent="0.25">
      <c r="A1360" s="475" t="s">
        <v>2753</v>
      </c>
      <c r="B1360" s="477">
        <v>0.47361111111111115</v>
      </c>
    </row>
    <row r="1361" spans="1:2" hidden="1" x14ac:dyDescent="0.25">
      <c r="A1361" s="475" t="s">
        <v>2754</v>
      </c>
      <c r="B1361" s="477">
        <v>0.47430555555555554</v>
      </c>
    </row>
    <row r="1362" spans="1:2" hidden="1" x14ac:dyDescent="0.25">
      <c r="A1362" s="475" t="s">
        <v>2755</v>
      </c>
      <c r="B1362" s="477">
        <v>0.47430555555555554</v>
      </c>
    </row>
    <row r="1363" spans="1:2" hidden="1" x14ac:dyDescent="0.25">
      <c r="A1363" s="475" t="s">
        <v>2756</v>
      </c>
      <c r="B1363" s="477">
        <v>0.47500000000000003</v>
      </c>
    </row>
    <row r="1364" spans="1:2" hidden="1" x14ac:dyDescent="0.25">
      <c r="A1364" s="475" t="s">
        <v>2757</v>
      </c>
      <c r="B1364" s="477">
        <v>0.47500000000000003</v>
      </c>
    </row>
    <row r="1365" spans="1:2" hidden="1" x14ac:dyDescent="0.25">
      <c r="A1365" s="475" t="s">
        <v>2758</v>
      </c>
      <c r="B1365" s="477">
        <v>0.47500000000000003</v>
      </c>
    </row>
    <row r="1366" spans="1:2" hidden="1" x14ac:dyDescent="0.25">
      <c r="A1366" s="475" t="s">
        <v>2759</v>
      </c>
      <c r="B1366" s="477">
        <v>0.47500000000000003</v>
      </c>
    </row>
    <row r="1367" spans="1:2" hidden="1" x14ac:dyDescent="0.25">
      <c r="A1367" s="475" t="s">
        <v>2760</v>
      </c>
      <c r="B1367" s="477">
        <v>0.47500000000000003</v>
      </c>
    </row>
    <row r="1368" spans="1:2" hidden="1" x14ac:dyDescent="0.25">
      <c r="A1368" s="475" t="s">
        <v>2761</v>
      </c>
      <c r="B1368" s="477">
        <v>0.47500000000000003</v>
      </c>
    </row>
    <row r="1369" spans="1:2" hidden="1" x14ac:dyDescent="0.25">
      <c r="A1369" s="475" t="s">
        <v>2762</v>
      </c>
      <c r="B1369" s="477">
        <v>0.47500000000000003</v>
      </c>
    </row>
    <row r="1370" spans="1:2" hidden="1" x14ac:dyDescent="0.25">
      <c r="A1370" s="475" t="s">
        <v>2763</v>
      </c>
      <c r="B1370" s="477">
        <v>0.47500000000000003</v>
      </c>
    </row>
    <row r="1371" spans="1:2" hidden="1" x14ac:dyDescent="0.25">
      <c r="A1371" s="475" t="s">
        <v>2764</v>
      </c>
      <c r="B1371" s="477">
        <v>0.47500000000000003</v>
      </c>
    </row>
    <row r="1372" spans="1:2" hidden="1" x14ac:dyDescent="0.25">
      <c r="A1372" s="475" t="s">
        <v>2765</v>
      </c>
      <c r="B1372" s="477">
        <v>0.47500000000000003</v>
      </c>
    </row>
    <row r="1373" spans="1:2" hidden="1" x14ac:dyDescent="0.25">
      <c r="A1373" s="475" t="s">
        <v>2766</v>
      </c>
      <c r="B1373" s="477">
        <v>0.47500000000000003</v>
      </c>
    </row>
    <row r="1374" spans="1:2" hidden="1" x14ac:dyDescent="0.25">
      <c r="A1374" s="475" t="s">
        <v>2767</v>
      </c>
      <c r="B1374" s="477">
        <v>0.47500000000000003</v>
      </c>
    </row>
    <row r="1375" spans="1:2" hidden="1" x14ac:dyDescent="0.25">
      <c r="A1375" s="475" t="s">
        <v>2768</v>
      </c>
      <c r="B1375" s="477">
        <v>0.47500000000000003</v>
      </c>
    </row>
    <row r="1376" spans="1:2" hidden="1" x14ac:dyDescent="0.25">
      <c r="A1376" s="475" t="s">
        <v>2769</v>
      </c>
      <c r="B1376" s="477">
        <v>0.47430555555555554</v>
      </c>
    </row>
    <row r="1377" spans="1:2" hidden="1" x14ac:dyDescent="0.25">
      <c r="A1377" s="475" t="s">
        <v>2770</v>
      </c>
      <c r="B1377" s="477">
        <v>0.47569444444444442</v>
      </c>
    </row>
    <row r="1378" spans="1:2" hidden="1" x14ac:dyDescent="0.25">
      <c r="A1378" s="475" t="s">
        <v>2771</v>
      </c>
      <c r="B1378" s="477">
        <v>0.47500000000000003</v>
      </c>
    </row>
    <row r="1379" spans="1:2" hidden="1" x14ac:dyDescent="0.25">
      <c r="A1379" s="475" t="s">
        <v>2772</v>
      </c>
      <c r="B1379" s="477">
        <v>0.47500000000000003</v>
      </c>
    </row>
    <row r="1380" spans="1:2" hidden="1" x14ac:dyDescent="0.25">
      <c r="A1380" s="475" t="s">
        <v>2773</v>
      </c>
      <c r="B1380" s="477">
        <v>0.47500000000000003</v>
      </c>
    </row>
    <row r="1381" spans="1:2" hidden="1" x14ac:dyDescent="0.25">
      <c r="A1381" s="475" t="s">
        <v>2774</v>
      </c>
      <c r="B1381" s="477">
        <v>0.47500000000000003</v>
      </c>
    </row>
    <row r="1382" spans="1:2" hidden="1" x14ac:dyDescent="0.25">
      <c r="A1382" s="475" t="s">
        <v>2775</v>
      </c>
      <c r="B1382" s="477">
        <v>0.47569444444444442</v>
      </c>
    </row>
    <row r="1383" spans="1:2" hidden="1" x14ac:dyDescent="0.25">
      <c r="A1383" s="475" t="s">
        <v>2776</v>
      </c>
      <c r="B1383" s="477">
        <v>0.47500000000000003</v>
      </c>
    </row>
    <row r="1384" spans="1:2" hidden="1" x14ac:dyDescent="0.25">
      <c r="A1384" s="475" t="s">
        <v>2777</v>
      </c>
      <c r="B1384" s="477">
        <v>0.47500000000000003</v>
      </c>
    </row>
    <row r="1385" spans="1:2" hidden="1" x14ac:dyDescent="0.25">
      <c r="A1385" s="475" t="s">
        <v>2778</v>
      </c>
      <c r="B1385" s="477">
        <v>0.47500000000000003</v>
      </c>
    </row>
    <row r="1386" spans="1:2" hidden="1" x14ac:dyDescent="0.25">
      <c r="A1386" s="475" t="s">
        <v>2779</v>
      </c>
      <c r="B1386" s="477">
        <v>0.47500000000000003</v>
      </c>
    </row>
    <row r="1387" spans="1:2" hidden="1" x14ac:dyDescent="0.25">
      <c r="A1387" s="475" t="s">
        <v>2780</v>
      </c>
      <c r="B1387" s="477">
        <v>0.47500000000000003</v>
      </c>
    </row>
    <row r="1388" spans="1:2" hidden="1" x14ac:dyDescent="0.25">
      <c r="A1388" s="475" t="s">
        <v>2781</v>
      </c>
      <c r="B1388" s="477">
        <v>0.47430555555555554</v>
      </c>
    </row>
    <row r="1389" spans="1:2" hidden="1" x14ac:dyDescent="0.25">
      <c r="A1389" s="475" t="s">
        <v>2782</v>
      </c>
      <c r="B1389" s="477">
        <v>0.47430555555555554</v>
      </c>
    </row>
    <row r="1390" spans="1:2" hidden="1" x14ac:dyDescent="0.25">
      <c r="A1390" s="475" t="s">
        <v>2783</v>
      </c>
      <c r="B1390" s="477">
        <v>0.47500000000000003</v>
      </c>
    </row>
    <row r="1391" spans="1:2" hidden="1" x14ac:dyDescent="0.25">
      <c r="A1391" s="475" t="s">
        <v>2784</v>
      </c>
      <c r="B1391" s="477">
        <v>0.47500000000000003</v>
      </c>
    </row>
    <row r="1392" spans="1:2" hidden="1" x14ac:dyDescent="0.25">
      <c r="A1392" s="475" t="s">
        <v>2785</v>
      </c>
      <c r="B1392" s="477">
        <v>0.47500000000000003</v>
      </c>
    </row>
    <row r="1393" spans="1:2" hidden="1" x14ac:dyDescent="0.25">
      <c r="A1393" s="475" t="s">
        <v>2786</v>
      </c>
      <c r="B1393" s="477">
        <v>0.47500000000000003</v>
      </c>
    </row>
    <row r="1394" spans="1:2" hidden="1" x14ac:dyDescent="0.25">
      <c r="A1394" s="475" t="s">
        <v>2787</v>
      </c>
      <c r="B1394" s="477">
        <v>0.47500000000000003</v>
      </c>
    </row>
    <row r="1395" spans="1:2" hidden="1" x14ac:dyDescent="0.25">
      <c r="A1395" s="475" t="s">
        <v>2788</v>
      </c>
      <c r="B1395" s="477">
        <v>0.47500000000000003</v>
      </c>
    </row>
    <row r="1396" spans="1:2" hidden="1" x14ac:dyDescent="0.25">
      <c r="A1396" s="475" t="s">
        <v>2789</v>
      </c>
      <c r="B1396" s="477">
        <v>0.47430555555555554</v>
      </c>
    </row>
    <row r="1397" spans="1:2" hidden="1" x14ac:dyDescent="0.25">
      <c r="A1397" s="475" t="s">
        <v>2790</v>
      </c>
      <c r="B1397" s="477">
        <v>0.47500000000000003</v>
      </c>
    </row>
    <row r="1398" spans="1:2" hidden="1" x14ac:dyDescent="0.25">
      <c r="A1398" s="475" t="s">
        <v>2791</v>
      </c>
      <c r="B1398" s="477">
        <v>0.47500000000000003</v>
      </c>
    </row>
    <row r="1399" spans="1:2" hidden="1" x14ac:dyDescent="0.25">
      <c r="A1399" s="475" t="s">
        <v>2792</v>
      </c>
      <c r="B1399" s="477">
        <v>0.47500000000000003</v>
      </c>
    </row>
    <row r="1400" spans="1:2" hidden="1" x14ac:dyDescent="0.25">
      <c r="A1400" s="475" t="s">
        <v>2793</v>
      </c>
      <c r="B1400" s="477">
        <v>0.47500000000000003</v>
      </c>
    </row>
    <row r="1401" spans="1:2" hidden="1" x14ac:dyDescent="0.25">
      <c r="A1401" s="475" t="s">
        <v>2794</v>
      </c>
      <c r="B1401" s="477">
        <v>0.47500000000000003</v>
      </c>
    </row>
    <row r="1402" spans="1:2" hidden="1" x14ac:dyDescent="0.25">
      <c r="A1402" s="475" t="s">
        <v>2795</v>
      </c>
      <c r="B1402" s="477">
        <v>0.47500000000000003</v>
      </c>
    </row>
    <row r="1403" spans="1:2" hidden="1" x14ac:dyDescent="0.25">
      <c r="A1403" s="475" t="s">
        <v>2796</v>
      </c>
      <c r="B1403" s="477">
        <v>0.47569444444444442</v>
      </c>
    </row>
    <row r="1404" spans="1:2" hidden="1" x14ac:dyDescent="0.25">
      <c r="A1404" s="475" t="s">
        <v>2797</v>
      </c>
      <c r="B1404" s="477">
        <v>0.47500000000000003</v>
      </c>
    </row>
    <row r="1405" spans="1:2" hidden="1" x14ac:dyDescent="0.25">
      <c r="A1405" s="475" t="s">
        <v>2798</v>
      </c>
      <c r="B1405" s="477">
        <v>0.47500000000000003</v>
      </c>
    </row>
    <row r="1406" spans="1:2" hidden="1" x14ac:dyDescent="0.25">
      <c r="A1406" s="475" t="s">
        <v>2799</v>
      </c>
      <c r="B1406" s="477">
        <v>0.47569444444444442</v>
      </c>
    </row>
    <row r="1407" spans="1:2" hidden="1" x14ac:dyDescent="0.25">
      <c r="A1407" s="475" t="s">
        <v>2800</v>
      </c>
      <c r="B1407" s="477">
        <v>0.47500000000000003</v>
      </c>
    </row>
    <row r="1408" spans="1:2" hidden="1" x14ac:dyDescent="0.25">
      <c r="A1408" s="475" t="s">
        <v>2801</v>
      </c>
      <c r="B1408" s="477">
        <v>0.47500000000000003</v>
      </c>
    </row>
    <row r="1409" spans="1:2" hidden="1" x14ac:dyDescent="0.25">
      <c r="A1409" s="475" t="s">
        <v>2802</v>
      </c>
      <c r="B1409" s="477">
        <v>0.47500000000000003</v>
      </c>
    </row>
    <row r="1410" spans="1:2" hidden="1" x14ac:dyDescent="0.25">
      <c r="A1410" s="475" t="s">
        <v>2803</v>
      </c>
      <c r="B1410" s="477">
        <v>0.47500000000000003</v>
      </c>
    </row>
    <row r="1411" spans="1:2" hidden="1" x14ac:dyDescent="0.25">
      <c r="A1411" s="475" t="s">
        <v>2804</v>
      </c>
      <c r="B1411" s="477">
        <v>0.47500000000000003</v>
      </c>
    </row>
    <row r="1412" spans="1:2" hidden="1" x14ac:dyDescent="0.25">
      <c r="A1412" s="475" t="s">
        <v>2805</v>
      </c>
      <c r="B1412" s="477">
        <v>0.47500000000000003</v>
      </c>
    </row>
    <row r="1413" spans="1:2" hidden="1" x14ac:dyDescent="0.25">
      <c r="A1413" s="475" t="s">
        <v>2806</v>
      </c>
      <c r="B1413" s="477">
        <v>0.47500000000000003</v>
      </c>
    </row>
    <row r="1414" spans="1:2" hidden="1" x14ac:dyDescent="0.25">
      <c r="A1414" s="475" t="s">
        <v>2807</v>
      </c>
      <c r="B1414" s="477">
        <v>0.47500000000000003</v>
      </c>
    </row>
    <row r="1415" spans="1:2" hidden="1" x14ac:dyDescent="0.25">
      <c r="A1415" s="475" t="s">
        <v>2808</v>
      </c>
      <c r="B1415" s="477">
        <v>0.47500000000000003</v>
      </c>
    </row>
    <row r="1416" spans="1:2" hidden="1" x14ac:dyDescent="0.25">
      <c r="A1416" s="475" t="s">
        <v>2809</v>
      </c>
      <c r="B1416" s="477">
        <v>0.47500000000000003</v>
      </c>
    </row>
    <row r="1417" spans="1:2" hidden="1" x14ac:dyDescent="0.25">
      <c r="A1417" s="475" t="s">
        <v>2810</v>
      </c>
      <c r="B1417" s="477">
        <v>0.47569444444444442</v>
      </c>
    </row>
    <row r="1418" spans="1:2" hidden="1" x14ac:dyDescent="0.25">
      <c r="A1418" s="475" t="s">
        <v>2811</v>
      </c>
      <c r="B1418" s="477">
        <v>0.47500000000000003</v>
      </c>
    </row>
    <row r="1419" spans="1:2" hidden="1" x14ac:dyDescent="0.25">
      <c r="A1419" s="475" t="s">
        <v>2812</v>
      </c>
      <c r="B1419" s="477">
        <v>0.47500000000000003</v>
      </c>
    </row>
    <row r="1420" spans="1:2" hidden="1" x14ac:dyDescent="0.25">
      <c r="A1420" s="475" t="s">
        <v>2813</v>
      </c>
      <c r="B1420" s="477">
        <v>0.47500000000000003</v>
      </c>
    </row>
    <row r="1421" spans="1:2" hidden="1" x14ac:dyDescent="0.25">
      <c r="A1421" s="475" t="s">
        <v>2814</v>
      </c>
      <c r="B1421" s="477">
        <v>0.47500000000000003</v>
      </c>
    </row>
    <row r="1422" spans="1:2" hidden="1" x14ac:dyDescent="0.25">
      <c r="A1422" s="475" t="s">
        <v>2815</v>
      </c>
      <c r="B1422" s="477">
        <v>0.47500000000000003</v>
      </c>
    </row>
    <row r="1423" spans="1:2" hidden="1" x14ac:dyDescent="0.25">
      <c r="A1423" s="475" t="s">
        <v>2816</v>
      </c>
      <c r="B1423" s="477">
        <v>0.47500000000000003</v>
      </c>
    </row>
    <row r="1424" spans="1:2" hidden="1" x14ac:dyDescent="0.25">
      <c r="A1424" s="475" t="s">
        <v>2817</v>
      </c>
      <c r="B1424" s="477">
        <v>0.47500000000000003</v>
      </c>
    </row>
    <row r="1425" spans="1:2" hidden="1" x14ac:dyDescent="0.25">
      <c r="A1425" s="475" t="s">
        <v>2818</v>
      </c>
      <c r="B1425" s="477">
        <v>0.47500000000000003</v>
      </c>
    </row>
    <row r="1426" spans="1:2" hidden="1" x14ac:dyDescent="0.25">
      <c r="A1426" s="475" t="s">
        <v>2819</v>
      </c>
      <c r="B1426" s="477">
        <v>0.47569444444444442</v>
      </c>
    </row>
    <row r="1427" spans="1:2" hidden="1" x14ac:dyDescent="0.25">
      <c r="A1427" s="475" t="s">
        <v>2820</v>
      </c>
      <c r="B1427" s="477">
        <v>0.47500000000000003</v>
      </c>
    </row>
    <row r="1428" spans="1:2" hidden="1" x14ac:dyDescent="0.25">
      <c r="A1428" s="475" t="s">
        <v>2821</v>
      </c>
      <c r="B1428" s="477">
        <v>0.47500000000000003</v>
      </c>
    </row>
    <row r="1429" spans="1:2" hidden="1" x14ac:dyDescent="0.25">
      <c r="A1429" s="475" t="s">
        <v>2822</v>
      </c>
      <c r="B1429" s="477">
        <v>0.47500000000000003</v>
      </c>
    </row>
    <row r="1430" spans="1:2" hidden="1" x14ac:dyDescent="0.25">
      <c r="A1430" s="475" t="s">
        <v>2823</v>
      </c>
      <c r="B1430" s="477">
        <v>0.47500000000000003</v>
      </c>
    </row>
    <row r="1431" spans="1:2" hidden="1" x14ac:dyDescent="0.25">
      <c r="A1431" s="475" t="s">
        <v>2824</v>
      </c>
      <c r="B1431" s="477">
        <v>0.47500000000000003</v>
      </c>
    </row>
    <row r="1432" spans="1:2" hidden="1" x14ac:dyDescent="0.25">
      <c r="A1432" s="475" t="s">
        <v>2825</v>
      </c>
      <c r="B1432" s="477">
        <v>0.47500000000000003</v>
      </c>
    </row>
    <row r="1433" spans="1:2" hidden="1" x14ac:dyDescent="0.25">
      <c r="A1433" s="475" t="s">
        <v>2826</v>
      </c>
      <c r="B1433" s="477">
        <v>0.47500000000000003</v>
      </c>
    </row>
    <row r="1434" spans="1:2" hidden="1" x14ac:dyDescent="0.25">
      <c r="A1434" s="475" t="s">
        <v>2827</v>
      </c>
      <c r="B1434" s="477">
        <v>0.47500000000000003</v>
      </c>
    </row>
    <row r="1435" spans="1:2" hidden="1" x14ac:dyDescent="0.25">
      <c r="A1435" s="475" t="s">
        <v>2828</v>
      </c>
      <c r="B1435" s="477">
        <v>0.47500000000000003</v>
      </c>
    </row>
    <row r="1436" spans="1:2" hidden="1" x14ac:dyDescent="0.25">
      <c r="A1436" s="475" t="s">
        <v>2829</v>
      </c>
      <c r="B1436" s="477">
        <v>0.47569444444444442</v>
      </c>
    </row>
    <row r="1437" spans="1:2" hidden="1" x14ac:dyDescent="0.25">
      <c r="A1437" s="475" t="s">
        <v>2830</v>
      </c>
      <c r="B1437" s="477">
        <v>0.47500000000000003</v>
      </c>
    </row>
    <row r="1438" spans="1:2" hidden="1" x14ac:dyDescent="0.25">
      <c r="A1438" s="475" t="s">
        <v>2831</v>
      </c>
      <c r="B1438" s="477">
        <v>0.47500000000000003</v>
      </c>
    </row>
    <row r="1439" spans="1:2" hidden="1" x14ac:dyDescent="0.25">
      <c r="A1439" s="475" t="s">
        <v>2832</v>
      </c>
      <c r="B1439" s="477">
        <v>0.47500000000000003</v>
      </c>
    </row>
    <row r="1440" spans="1:2" hidden="1" x14ac:dyDescent="0.25">
      <c r="A1440" s="475" t="s">
        <v>2833</v>
      </c>
      <c r="B1440" s="477">
        <v>0.47430555555555554</v>
      </c>
    </row>
    <row r="1441" spans="1:2" hidden="1" x14ac:dyDescent="0.25">
      <c r="A1441" s="475" t="s">
        <v>2834</v>
      </c>
      <c r="B1441" s="477">
        <v>0.47500000000000003</v>
      </c>
    </row>
    <row r="1442" spans="1:2" hidden="1" x14ac:dyDescent="0.25">
      <c r="A1442" s="475" t="s">
        <v>2835</v>
      </c>
      <c r="B1442" s="477">
        <v>0.47500000000000003</v>
      </c>
    </row>
    <row r="1443" spans="1:2" hidden="1" x14ac:dyDescent="0.25">
      <c r="A1443" s="475" t="s">
        <v>2836</v>
      </c>
      <c r="B1443" s="477">
        <v>0.47500000000000003</v>
      </c>
    </row>
    <row r="1444" spans="1:2" hidden="1" x14ac:dyDescent="0.25">
      <c r="A1444" s="475" t="s">
        <v>2837</v>
      </c>
      <c r="B1444" s="477">
        <v>0.47430555555555554</v>
      </c>
    </row>
    <row r="1445" spans="1:2" hidden="1" x14ac:dyDescent="0.25">
      <c r="A1445" s="475" t="s">
        <v>2838</v>
      </c>
      <c r="B1445" s="477">
        <v>0.47500000000000003</v>
      </c>
    </row>
    <row r="1446" spans="1:2" hidden="1" x14ac:dyDescent="0.25">
      <c r="A1446" s="475" t="s">
        <v>2839</v>
      </c>
      <c r="B1446" s="477">
        <v>0.47500000000000003</v>
      </c>
    </row>
    <row r="1447" spans="1:2" hidden="1" x14ac:dyDescent="0.25">
      <c r="A1447" s="475" t="s">
        <v>2840</v>
      </c>
      <c r="B1447" s="477">
        <v>0.47430555555555554</v>
      </c>
    </row>
    <row r="1448" spans="1:2" hidden="1" x14ac:dyDescent="0.25">
      <c r="A1448" s="475" t="s">
        <v>2841</v>
      </c>
      <c r="B1448" s="477">
        <v>0.47500000000000003</v>
      </c>
    </row>
    <row r="1449" spans="1:2" hidden="1" x14ac:dyDescent="0.25">
      <c r="A1449" s="475" t="s">
        <v>2842</v>
      </c>
      <c r="B1449" s="477">
        <v>0.47500000000000003</v>
      </c>
    </row>
    <row r="1450" spans="1:2" hidden="1" x14ac:dyDescent="0.25">
      <c r="A1450" s="475" t="s">
        <v>2843</v>
      </c>
      <c r="B1450" s="477">
        <v>0.47500000000000003</v>
      </c>
    </row>
    <row r="1451" spans="1:2" hidden="1" x14ac:dyDescent="0.25">
      <c r="A1451" s="475" t="s">
        <v>2844</v>
      </c>
      <c r="B1451" s="477">
        <v>0.47500000000000003</v>
      </c>
    </row>
    <row r="1452" spans="1:2" hidden="1" x14ac:dyDescent="0.25">
      <c r="A1452" s="475" t="s">
        <v>2845</v>
      </c>
      <c r="B1452" s="477">
        <v>0.47500000000000003</v>
      </c>
    </row>
    <row r="1453" spans="1:2" hidden="1" x14ac:dyDescent="0.25">
      <c r="A1453" s="475" t="s">
        <v>2846</v>
      </c>
      <c r="B1453" s="477">
        <v>0.47500000000000003</v>
      </c>
    </row>
    <row r="1454" spans="1:2" hidden="1" x14ac:dyDescent="0.25">
      <c r="A1454" s="475" t="s">
        <v>2847</v>
      </c>
      <c r="B1454" s="477">
        <v>0.47500000000000003</v>
      </c>
    </row>
    <row r="1455" spans="1:2" hidden="1" x14ac:dyDescent="0.25">
      <c r="A1455" s="475" t="s">
        <v>2848</v>
      </c>
      <c r="B1455" s="477">
        <v>0.47500000000000003</v>
      </c>
    </row>
    <row r="1456" spans="1:2" hidden="1" x14ac:dyDescent="0.25">
      <c r="A1456" s="475" t="s">
        <v>2849</v>
      </c>
      <c r="B1456" s="477">
        <v>0.47500000000000003</v>
      </c>
    </row>
    <row r="1457" spans="1:2" hidden="1" x14ac:dyDescent="0.25">
      <c r="A1457" s="475" t="s">
        <v>2850</v>
      </c>
      <c r="B1457" s="477">
        <v>0.47500000000000003</v>
      </c>
    </row>
    <row r="1458" spans="1:2" hidden="1" x14ac:dyDescent="0.25">
      <c r="A1458" s="475" t="s">
        <v>2851</v>
      </c>
      <c r="B1458" s="477">
        <v>0.47500000000000003</v>
      </c>
    </row>
    <row r="1459" spans="1:2" hidden="1" x14ac:dyDescent="0.25">
      <c r="A1459" s="475" t="s">
        <v>2852</v>
      </c>
      <c r="B1459" s="477">
        <v>0.47500000000000003</v>
      </c>
    </row>
    <row r="1460" spans="1:2" hidden="1" x14ac:dyDescent="0.25">
      <c r="A1460" s="475" t="s">
        <v>2853</v>
      </c>
      <c r="B1460" s="477">
        <v>0.47500000000000003</v>
      </c>
    </row>
    <row r="1461" spans="1:2" hidden="1" x14ac:dyDescent="0.25">
      <c r="A1461" s="475" t="s">
        <v>2854</v>
      </c>
      <c r="B1461" s="477">
        <v>0.47500000000000003</v>
      </c>
    </row>
    <row r="1462" spans="1:2" hidden="1" x14ac:dyDescent="0.25">
      <c r="A1462" s="475" t="s">
        <v>2855</v>
      </c>
      <c r="B1462" s="477">
        <v>0.47500000000000003</v>
      </c>
    </row>
    <row r="1463" spans="1:2" hidden="1" x14ac:dyDescent="0.25">
      <c r="A1463" s="475" t="s">
        <v>2856</v>
      </c>
      <c r="B1463" s="477">
        <v>0.47569444444444442</v>
      </c>
    </row>
    <row r="1464" spans="1:2" hidden="1" x14ac:dyDescent="0.25">
      <c r="A1464" s="475" t="s">
        <v>2857</v>
      </c>
      <c r="B1464" s="477">
        <v>0.47500000000000003</v>
      </c>
    </row>
    <row r="1465" spans="1:2" hidden="1" x14ac:dyDescent="0.25">
      <c r="A1465" s="475" t="s">
        <v>2858</v>
      </c>
      <c r="B1465" s="477">
        <v>0.47500000000000003</v>
      </c>
    </row>
    <row r="1466" spans="1:2" hidden="1" x14ac:dyDescent="0.25">
      <c r="A1466" s="475" t="s">
        <v>2859</v>
      </c>
      <c r="B1466" s="477">
        <v>0.47500000000000003</v>
      </c>
    </row>
    <row r="1467" spans="1:2" hidden="1" x14ac:dyDescent="0.25">
      <c r="A1467" s="475" t="s">
        <v>2860</v>
      </c>
      <c r="B1467" s="477">
        <v>0.47500000000000003</v>
      </c>
    </row>
    <row r="1468" spans="1:2" hidden="1" x14ac:dyDescent="0.25">
      <c r="A1468" s="475" t="s">
        <v>2861</v>
      </c>
      <c r="B1468" s="477">
        <v>0.47500000000000003</v>
      </c>
    </row>
    <row r="1469" spans="1:2" hidden="1" x14ac:dyDescent="0.25">
      <c r="A1469" s="475" t="s">
        <v>2862</v>
      </c>
      <c r="B1469" s="477">
        <v>0.47569444444444442</v>
      </c>
    </row>
    <row r="1470" spans="1:2" hidden="1" x14ac:dyDescent="0.25">
      <c r="A1470" s="475" t="s">
        <v>2863</v>
      </c>
      <c r="B1470" s="477">
        <v>0.47500000000000003</v>
      </c>
    </row>
    <row r="1471" spans="1:2" hidden="1" x14ac:dyDescent="0.25">
      <c r="A1471" s="475" t="s">
        <v>2864</v>
      </c>
      <c r="B1471" s="477">
        <v>0.47500000000000003</v>
      </c>
    </row>
    <row r="1472" spans="1:2" hidden="1" x14ac:dyDescent="0.25">
      <c r="A1472" s="475" t="s">
        <v>2865</v>
      </c>
      <c r="B1472" s="477">
        <v>0.47500000000000003</v>
      </c>
    </row>
    <row r="1473" spans="1:2" hidden="1" x14ac:dyDescent="0.25">
      <c r="A1473" s="475" t="s">
        <v>2866</v>
      </c>
      <c r="B1473" s="477">
        <v>0.47500000000000003</v>
      </c>
    </row>
    <row r="1474" spans="1:2" hidden="1" x14ac:dyDescent="0.25">
      <c r="A1474" s="475" t="s">
        <v>2867</v>
      </c>
      <c r="B1474" s="477">
        <v>0.47500000000000003</v>
      </c>
    </row>
    <row r="1475" spans="1:2" hidden="1" x14ac:dyDescent="0.25">
      <c r="A1475" s="475" t="s">
        <v>2868</v>
      </c>
      <c r="B1475" s="477">
        <v>0.47361111111111115</v>
      </c>
    </row>
    <row r="1476" spans="1:2" hidden="1" x14ac:dyDescent="0.25">
      <c r="A1476" s="475" t="s">
        <v>2869</v>
      </c>
      <c r="B1476" s="477">
        <v>0.47500000000000003</v>
      </c>
    </row>
    <row r="1477" spans="1:2" hidden="1" x14ac:dyDescent="0.25">
      <c r="A1477" s="475" t="s">
        <v>2870</v>
      </c>
      <c r="B1477" s="477">
        <v>0.47500000000000003</v>
      </c>
    </row>
    <row r="1478" spans="1:2" hidden="1" x14ac:dyDescent="0.25">
      <c r="A1478" s="475" t="s">
        <v>2871</v>
      </c>
      <c r="B1478" s="477">
        <v>0.47500000000000003</v>
      </c>
    </row>
    <row r="1479" spans="1:2" hidden="1" x14ac:dyDescent="0.25">
      <c r="A1479" s="475" t="s">
        <v>2872</v>
      </c>
      <c r="B1479" s="477">
        <v>0.47500000000000003</v>
      </c>
    </row>
    <row r="1480" spans="1:2" hidden="1" x14ac:dyDescent="0.25">
      <c r="A1480" s="475" t="s">
        <v>2873</v>
      </c>
      <c r="B1480" s="477">
        <v>0.47500000000000003</v>
      </c>
    </row>
    <row r="1481" spans="1:2" hidden="1" x14ac:dyDescent="0.25">
      <c r="A1481" s="475" t="s">
        <v>2874</v>
      </c>
      <c r="B1481" s="477">
        <v>0.47500000000000003</v>
      </c>
    </row>
    <row r="1482" spans="1:2" hidden="1" x14ac:dyDescent="0.25">
      <c r="A1482" s="475" t="s">
        <v>2875</v>
      </c>
      <c r="B1482" s="477">
        <v>0.47500000000000003</v>
      </c>
    </row>
    <row r="1483" spans="1:2" hidden="1" x14ac:dyDescent="0.25">
      <c r="A1483" s="475" t="s">
        <v>2876</v>
      </c>
      <c r="B1483" s="477">
        <v>0.47500000000000003</v>
      </c>
    </row>
    <row r="1484" spans="1:2" hidden="1" x14ac:dyDescent="0.25">
      <c r="A1484" s="475" t="s">
        <v>2877</v>
      </c>
      <c r="B1484" s="477">
        <v>0.47500000000000003</v>
      </c>
    </row>
    <row r="1485" spans="1:2" hidden="1" x14ac:dyDescent="0.25">
      <c r="A1485" s="475" t="s">
        <v>2878</v>
      </c>
      <c r="B1485" s="477">
        <v>0.47500000000000003</v>
      </c>
    </row>
    <row r="1486" spans="1:2" hidden="1" x14ac:dyDescent="0.25">
      <c r="A1486" s="475" t="s">
        <v>2879</v>
      </c>
      <c r="B1486" s="477">
        <v>0.47500000000000003</v>
      </c>
    </row>
    <row r="1487" spans="1:2" hidden="1" x14ac:dyDescent="0.25">
      <c r="A1487" s="475" t="s">
        <v>2880</v>
      </c>
      <c r="B1487" s="477">
        <v>0.47430555555555554</v>
      </c>
    </row>
    <row r="1488" spans="1:2" hidden="1" x14ac:dyDescent="0.25">
      <c r="A1488" s="475" t="s">
        <v>2881</v>
      </c>
      <c r="B1488" s="477">
        <v>0.47500000000000003</v>
      </c>
    </row>
    <row r="1489" spans="1:2" hidden="1" x14ac:dyDescent="0.25">
      <c r="A1489" s="475" t="s">
        <v>2882</v>
      </c>
      <c r="B1489" s="477">
        <v>0.47500000000000003</v>
      </c>
    </row>
    <row r="1490" spans="1:2" hidden="1" x14ac:dyDescent="0.25">
      <c r="A1490" s="475" t="s">
        <v>2883</v>
      </c>
      <c r="B1490" s="477">
        <v>0.47500000000000003</v>
      </c>
    </row>
    <row r="1491" spans="1:2" hidden="1" x14ac:dyDescent="0.25">
      <c r="A1491" s="475" t="s">
        <v>2884</v>
      </c>
      <c r="B1491" s="477">
        <v>0.47500000000000003</v>
      </c>
    </row>
    <row r="1492" spans="1:2" hidden="1" x14ac:dyDescent="0.25">
      <c r="A1492" s="475" t="s">
        <v>2885</v>
      </c>
      <c r="B1492" s="477">
        <v>0.47500000000000003</v>
      </c>
    </row>
    <row r="1493" spans="1:2" hidden="1" x14ac:dyDescent="0.25">
      <c r="A1493" s="475" t="s">
        <v>2886</v>
      </c>
      <c r="B1493" s="477">
        <v>0.47500000000000003</v>
      </c>
    </row>
    <row r="1494" spans="1:2" hidden="1" x14ac:dyDescent="0.25">
      <c r="A1494" s="475" t="s">
        <v>2887</v>
      </c>
      <c r="B1494" s="477">
        <v>0.47500000000000003</v>
      </c>
    </row>
    <row r="1495" spans="1:2" hidden="1" x14ac:dyDescent="0.25">
      <c r="A1495" s="475" t="s">
        <v>2888</v>
      </c>
      <c r="B1495" s="477">
        <v>0.47500000000000003</v>
      </c>
    </row>
    <row r="1496" spans="1:2" hidden="1" x14ac:dyDescent="0.25">
      <c r="A1496" s="475" t="s">
        <v>2889</v>
      </c>
      <c r="B1496" s="477">
        <v>0.47500000000000003</v>
      </c>
    </row>
    <row r="1497" spans="1:2" hidden="1" x14ac:dyDescent="0.25">
      <c r="A1497" s="475" t="s">
        <v>2890</v>
      </c>
      <c r="B1497" s="477">
        <v>0.47500000000000003</v>
      </c>
    </row>
    <row r="1498" spans="1:2" hidden="1" x14ac:dyDescent="0.25">
      <c r="A1498" s="475" t="s">
        <v>2891</v>
      </c>
      <c r="B1498" s="477">
        <v>0.47569444444444442</v>
      </c>
    </row>
    <row r="1499" spans="1:2" hidden="1" x14ac:dyDescent="0.25">
      <c r="A1499" s="475" t="s">
        <v>2892</v>
      </c>
      <c r="B1499" s="477">
        <v>0.47430555555555554</v>
      </c>
    </row>
    <row r="1500" spans="1:2" hidden="1" x14ac:dyDescent="0.25">
      <c r="A1500" s="475" t="s">
        <v>2893</v>
      </c>
      <c r="B1500" s="477">
        <v>0.47569444444444442</v>
      </c>
    </row>
    <row r="1501" spans="1:2" hidden="1" x14ac:dyDescent="0.25">
      <c r="A1501" s="475" t="s">
        <v>2894</v>
      </c>
      <c r="B1501" s="477">
        <v>0.47500000000000003</v>
      </c>
    </row>
    <row r="1502" spans="1:2" hidden="1" x14ac:dyDescent="0.25">
      <c r="A1502" s="475" t="s">
        <v>2895</v>
      </c>
      <c r="B1502" s="477">
        <v>0.47500000000000003</v>
      </c>
    </row>
    <row r="1503" spans="1:2" hidden="1" x14ac:dyDescent="0.25">
      <c r="A1503" s="475" t="s">
        <v>2896</v>
      </c>
      <c r="B1503" s="477">
        <v>0.47500000000000003</v>
      </c>
    </row>
    <row r="1504" spans="1:2" hidden="1" x14ac:dyDescent="0.25">
      <c r="A1504" s="475" t="s">
        <v>2897</v>
      </c>
      <c r="B1504" s="477">
        <v>0.47500000000000003</v>
      </c>
    </row>
    <row r="1505" spans="1:2" hidden="1" x14ac:dyDescent="0.25">
      <c r="A1505" s="475" t="s">
        <v>2898</v>
      </c>
      <c r="B1505" s="477">
        <v>0.47500000000000003</v>
      </c>
    </row>
    <row r="1506" spans="1:2" hidden="1" x14ac:dyDescent="0.25">
      <c r="A1506" s="475" t="s">
        <v>2899</v>
      </c>
      <c r="B1506" s="477">
        <v>0.47500000000000003</v>
      </c>
    </row>
    <row r="1507" spans="1:2" hidden="1" x14ac:dyDescent="0.25">
      <c r="A1507" s="475" t="s">
        <v>2900</v>
      </c>
      <c r="B1507" s="477">
        <v>0.47430555555555554</v>
      </c>
    </row>
    <row r="1508" spans="1:2" hidden="1" x14ac:dyDescent="0.25">
      <c r="A1508" s="475" t="s">
        <v>2901</v>
      </c>
      <c r="B1508" s="477">
        <v>0.47500000000000003</v>
      </c>
    </row>
    <row r="1509" spans="1:2" hidden="1" x14ac:dyDescent="0.25">
      <c r="A1509" s="475" t="s">
        <v>2902</v>
      </c>
      <c r="B1509" s="477">
        <v>0.47500000000000003</v>
      </c>
    </row>
    <row r="1510" spans="1:2" hidden="1" x14ac:dyDescent="0.25">
      <c r="A1510" s="475" t="s">
        <v>2903</v>
      </c>
      <c r="B1510" s="477">
        <v>0.47500000000000003</v>
      </c>
    </row>
    <row r="1511" spans="1:2" hidden="1" x14ac:dyDescent="0.25">
      <c r="A1511" s="475" t="s">
        <v>2904</v>
      </c>
      <c r="B1511" s="477">
        <v>0.47500000000000003</v>
      </c>
    </row>
    <row r="1512" spans="1:2" hidden="1" x14ac:dyDescent="0.25">
      <c r="A1512" s="475" t="s">
        <v>2905</v>
      </c>
      <c r="B1512" s="477">
        <v>0.47500000000000003</v>
      </c>
    </row>
    <row r="1513" spans="1:2" hidden="1" x14ac:dyDescent="0.25">
      <c r="A1513" s="475" t="s">
        <v>2906</v>
      </c>
      <c r="B1513" s="477">
        <v>0.47500000000000003</v>
      </c>
    </row>
    <row r="1514" spans="1:2" hidden="1" x14ac:dyDescent="0.25">
      <c r="A1514" s="475" t="s">
        <v>2907</v>
      </c>
      <c r="B1514" s="477">
        <v>0.47500000000000003</v>
      </c>
    </row>
    <row r="1515" spans="1:2" hidden="1" x14ac:dyDescent="0.25">
      <c r="A1515" s="475" t="s">
        <v>2908</v>
      </c>
      <c r="B1515" s="477">
        <v>0.47430555555555554</v>
      </c>
    </row>
    <row r="1516" spans="1:2" hidden="1" x14ac:dyDescent="0.25">
      <c r="A1516" s="475" t="s">
        <v>2909</v>
      </c>
      <c r="B1516" s="477">
        <v>0.47500000000000003</v>
      </c>
    </row>
    <row r="1517" spans="1:2" hidden="1" x14ac:dyDescent="0.25">
      <c r="A1517" s="475" t="s">
        <v>2910</v>
      </c>
      <c r="B1517" s="477">
        <v>0.47430555555555554</v>
      </c>
    </row>
    <row r="1518" spans="1:2" hidden="1" x14ac:dyDescent="0.25">
      <c r="A1518" s="475" t="s">
        <v>2911</v>
      </c>
      <c r="B1518" s="477">
        <v>0.47500000000000003</v>
      </c>
    </row>
    <row r="1519" spans="1:2" hidden="1" x14ac:dyDescent="0.25">
      <c r="A1519" s="475" t="s">
        <v>2912</v>
      </c>
      <c r="B1519" s="477">
        <v>0.47500000000000003</v>
      </c>
    </row>
    <row r="1520" spans="1:2" hidden="1" x14ac:dyDescent="0.25">
      <c r="A1520" s="475" t="s">
        <v>2913</v>
      </c>
      <c r="B1520" s="477">
        <v>0.47500000000000003</v>
      </c>
    </row>
    <row r="1521" spans="1:2" hidden="1" x14ac:dyDescent="0.25">
      <c r="A1521" s="475" t="s">
        <v>2914</v>
      </c>
      <c r="B1521" s="477">
        <v>0.47500000000000003</v>
      </c>
    </row>
    <row r="1522" spans="1:2" hidden="1" x14ac:dyDescent="0.25">
      <c r="A1522" s="475" t="s">
        <v>2915</v>
      </c>
      <c r="B1522" s="477">
        <v>0.47500000000000003</v>
      </c>
    </row>
    <row r="1523" spans="1:2" hidden="1" x14ac:dyDescent="0.25">
      <c r="A1523" s="475" t="s">
        <v>2916</v>
      </c>
      <c r="B1523" s="477">
        <v>0.47569444444444442</v>
      </c>
    </row>
    <row r="1524" spans="1:2" hidden="1" x14ac:dyDescent="0.25">
      <c r="A1524" s="475" t="s">
        <v>2917</v>
      </c>
      <c r="B1524" s="477">
        <v>0.47500000000000003</v>
      </c>
    </row>
    <row r="1525" spans="1:2" hidden="1" x14ac:dyDescent="0.25">
      <c r="A1525" s="475" t="s">
        <v>2918</v>
      </c>
      <c r="B1525" s="477">
        <v>0.47500000000000003</v>
      </c>
    </row>
    <row r="1526" spans="1:2" hidden="1" x14ac:dyDescent="0.25">
      <c r="A1526" s="475" t="s">
        <v>2919</v>
      </c>
      <c r="B1526" s="477">
        <v>0.47500000000000003</v>
      </c>
    </row>
    <row r="1527" spans="1:2" hidden="1" x14ac:dyDescent="0.25">
      <c r="A1527" s="475" t="s">
        <v>2920</v>
      </c>
      <c r="B1527" s="477">
        <v>0.47500000000000003</v>
      </c>
    </row>
    <row r="1528" spans="1:2" hidden="1" x14ac:dyDescent="0.25">
      <c r="A1528" s="475" t="s">
        <v>2921</v>
      </c>
      <c r="B1528" s="477">
        <v>0.47500000000000003</v>
      </c>
    </row>
    <row r="1529" spans="1:2" hidden="1" x14ac:dyDescent="0.25">
      <c r="A1529" s="475" t="s">
        <v>2922</v>
      </c>
      <c r="B1529" s="477">
        <v>0.47500000000000003</v>
      </c>
    </row>
    <row r="1530" spans="1:2" hidden="1" x14ac:dyDescent="0.25">
      <c r="A1530" s="475" t="s">
        <v>2923</v>
      </c>
      <c r="B1530" s="477">
        <v>0.47500000000000003</v>
      </c>
    </row>
    <row r="1531" spans="1:2" hidden="1" x14ac:dyDescent="0.25">
      <c r="A1531" s="475" t="s">
        <v>2924</v>
      </c>
      <c r="B1531" s="477">
        <v>0.47500000000000003</v>
      </c>
    </row>
    <row r="1532" spans="1:2" hidden="1" x14ac:dyDescent="0.25">
      <c r="A1532" s="475" t="s">
        <v>2925</v>
      </c>
      <c r="B1532" s="477">
        <v>0.47500000000000003</v>
      </c>
    </row>
    <row r="1533" spans="1:2" hidden="1" x14ac:dyDescent="0.25">
      <c r="A1533" s="475" t="s">
        <v>2926</v>
      </c>
      <c r="B1533" s="477">
        <v>0.47500000000000003</v>
      </c>
    </row>
    <row r="1534" spans="1:2" hidden="1" x14ac:dyDescent="0.25">
      <c r="A1534" s="475" t="s">
        <v>2927</v>
      </c>
      <c r="B1534" s="477">
        <v>0.47500000000000003</v>
      </c>
    </row>
    <row r="1535" spans="1:2" hidden="1" x14ac:dyDescent="0.25">
      <c r="A1535" s="475" t="s">
        <v>2928</v>
      </c>
      <c r="B1535" s="477">
        <v>0.47500000000000003</v>
      </c>
    </row>
    <row r="1536" spans="1:2" hidden="1" x14ac:dyDescent="0.25">
      <c r="A1536" s="475" t="s">
        <v>2929</v>
      </c>
      <c r="B1536" s="477">
        <v>0.47500000000000003</v>
      </c>
    </row>
    <row r="1537" spans="1:2" hidden="1" x14ac:dyDescent="0.25">
      <c r="A1537" s="475" t="s">
        <v>2930</v>
      </c>
      <c r="B1537" s="477">
        <v>0.47500000000000003</v>
      </c>
    </row>
    <row r="1538" spans="1:2" hidden="1" x14ac:dyDescent="0.25">
      <c r="A1538" s="475" t="s">
        <v>2931</v>
      </c>
      <c r="B1538" s="477">
        <v>0.47500000000000003</v>
      </c>
    </row>
    <row r="1539" spans="1:2" hidden="1" x14ac:dyDescent="0.25">
      <c r="A1539" s="475" t="s">
        <v>2932</v>
      </c>
      <c r="B1539" s="477">
        <v>0.47500000000000003</v>
      </c>
    </row>
    <row r="1540" spans="1:2" hidden="1" x14ac:dyDescent="0.25">
      <c r="A1540" s="475" t="s">
        <v>2933</v>
      </c>
      <c r="B1540" s="477">
        <v>0.47500000000000003</v>
      </c>
    </row>
    <row r="1541" spans="1:2" hidden="1" x14ac:dyDescent="0.25">
      <c r="A1541" s="475" t="s">
        <v>2934</v>
      </c>
      <c r="B1541" s="477">
        <v>0.47500000000000003</v>
      </c>
    </row>
    <row r="1542" spans="1:2" hidden="1" x14ac:dyDescent="0.25">
      <c r="A1542" s="475" t="s">
        <v>2935</v>
      </c>
      <c r="B1542" s="477">
        <v>0.47500000000000003</v>
      </c>
    </row>
    <row r="1543" spans="1:2" hidden="1" x14ac:dyDescent="0.25">
      <c r="A1543" s="475" t="s">
        <v>2936</v>
      </c>
      <c r="B1543" s="477">
        <v>0.47500000000000003</v>
      </c>
    </row>
    <row r="1544" spans="1:2" hidden="1" x14ac:dyDescent="0.25">
      <c r="A1544" s="475" t="s">
        <v>2937</v>
      </c>
      <c r="B1544" s="477">
        <v>0.47500000000000003</v>
      </c>
    </row>
    <row r="1545" spans="1:2" hidden="1" x14ac:dyDescent="0.25">
      <c r="A1545" s="475" t="s">
        <v>2938</v>
      </c>
      <c r="B1545" s="477">
        <v>0.47500000000000003</v>
      </c>
    </row>
    <row r="1546" spans="1:2" hidden="1" x14ac:dyDescent="0.25">
      <c r="A1546" s="475" t="s">
        <v>2939</v>
      </c>
      <c r="B1546" s="477">
        <v>0.47500000000000003</v>
      </c>
    </row>
    <row r="1547" spans="1:2" hidden="1" x14ac:dyDescent="0.25">
      <c r="A1547" s="475" t="s">
        <v>2940</v>
      </c>
      <c r="B1547" s="477">
        <v>0.47430555555555554</v>
      </c>
    </row>
    <row r="1548" spans="1:2" hidden="1" x14ac:dyDescent="0.25">
      <c r="A1548" s="475" t="s">
        <v>2941</v>
      </c>
      <c r="B1548" s="477">
        <v>0.47500000000000003</v>
      </c>
    </row>
    <row r="1549" spans="1:2" hidden="1" x14ac:dyDescent="0.25">
      <c r="A1549" s="475" t="s">
        <v>2942</v>
      </c>
      <c r="B1549" s="477">
        <v>0.47569444444444442</v>
      </c>
    </row>
    <row r="1550" spans="1:2" hidden="1" x14ac:dyDescent="0.25">
      <c r="A1550" s="475" t="s">
        <v>2943</v>
      </c>
      <c r="B1550" s="477">
        <v>0.47500000000000003</v>
      </c>
    </row>
    <row r="1551" spans="1:2" hidden="1" x14ac:dyDescent="0.25">
      <c r="A1551" s="475" t="s">
        <v>2944</v>
      </c>
      <c r="B1551" s="477">
        <v>0.47430555555555554</v>
      </c>
    </row>
    <row r="1552" spans="1:2" hidden="1" x14ac:dyDescent="0.25">
      <c r="A1552" s="475" t="s">
        <v>2945</v>
      </c>
      <c r="B1552" s="477">
        <v>0.47500000000000003</v>
      </c>
    </row>
    <row r="1553" spans="1:2" hidden="1" x14ac:dyDescent="0.25">
      <c r="A1553" s="475" t="s">
        <v>2946</v>
      </c>
      <c r="B1553" s="477">
        <v>0.47500000000000003</v>
      </c>
    </row>
    <row r="1554" spans="1:2" hidden="1" x14ac:dyDescent="0.25">
      <c r="A1554" s="475" t="s">
        <v>2947</v>
      </c>
      <c r="B1554" s="477">
        <v>0.47500000000000003</v>
      </c>
    </row>
    <row r="1555" spans="1:2" hidden="1" x14ac:dyDescent="0.25">
      <c r="A1555" s="475" t="s">
        <v>2948</v>
      </c>
      <c r="B1555" s="477">
        <v>0.47500000000000003</v>
      </c>
    </row>
    <row r="1556" spans="1:2" hidden="1" x14ac:dyDescent="0.25">
      <c r="A1556" s="475" t="s">
        <v>2949</v>
      </c>
      <c r="B1556" s="477">
        <v>0.47500000000000003</v>
      </c>
    </row>
    <row r="1557" spans="1:2" hidden="1" x14ac:dyDescent="0.25">
      <c r="A1557" s="475" t="s">
        <v>2950</v>
      </c>
      <c r="B1557" s="477">
        <v>0.47500000000000003</v>
      </c>
    </row>
    <row r="1558" spans="1:2" hidden="1" x14ac:dyDescent="0.25">
      <c r="A1558" s="475" t="s">
        <v>2951</v>
      </c>
      <c r="B1558" s="477">
        <v>0.47500000000000003</v>
      </c>
    </row>
    <row r="1559" spans="1:2" hidden="1" x14ac:dyDescent="0.25">
      <c r="A1559" s="475" t="s">
        <v>2952</v>
      </c>
      <c r="B1559" s="477">
        <v>0.47500000000000003</v>
      </c>
    </row>
    <row r="1560" spans="1:2" hidden="1" x14ac:dyDescent="0.25">
      <c r="A1560" s="475" t="s">
        <v>2953</v>
      </c>
      <c r="B1560" s="477">
        <v>0.47500000000000003</v>
      </c>
    </row>
    <row r="1561" spans="1:2" hidden="1" x14ac:dyDescent="0.25">
      <c r="A1561" s="475" t="s">
        <v>2954</v>
      </c>
      <c r="B1561" s="477">
        <v>0.47430555555555554</v>
      </c>
    </row>
    <row r="1562" spans="1:2" hidden="1" x14ac:dyDescent="0.25">
      <c r="A1562" s="475" t="s">
        <v>2955</v>
      </c>
      <c r="B1562" s="477">
        <v>0.47430555555555554</v>
      </c>
    </row>
    <row r="1563" spans="1:2" hidden="1" x14ac:dyDescent="0.25">
      <c r="A1563" s="475" t="s">
        <v>2956</v>
      </c>
      <c r="B1563" s="477">
        <v>0.47500000000000003</v>
      </c>
    </row>
    <row r="1564" spans="1:2" hidden="1" x14ac:dyDescent="0.25">
      <c r="A1564" s="475" t="s">
        <v>2957</v>
      </c>
      <c r="B1564" s="477">
        <v>0.47430555555555554</v>
      </c>
    </row>
    <row r="1565" spans="1:2" hidden="1" x14ac:dyDescent="0.25">
      <c r="A1565" s="475" t="s">
        <v>2958</v>
      </c>
      <c r="B1565" s="477">
        <v>0.47500000000000003</v>
      </c>
    </row>
    <row r="1566" spans="1:2" hidden="1" x14ac:dyDescent="0.25">
      <c r="A1566" s="475" t="s">
        <v>2959</v>
      </c>
      <c r="B1566" s="477">
        <v>0.47500000000000003</v>
      </c>
    </row>
    <row r="1567" spans="1:2" hidden="1" x14ac:dyDescent="0.25">
      <c r="A1567" s="476" t="s">
        <v>2960</v>
      </c>
      <c r="B1567" s="481">
        <v>0.47500000000000003</v>
      </c>
    </row>
    <row r="1568" spans="1:2" hidden="1" x14ac:dyDescent="0.25">
      <c r="A1568" s="476" t="s">
        <v>2961</v>
      </c>
      <c r="B1568" s="481">
        <v>0.47500000000000003</v>
      </c>
    </row>
    <row r="1569" spans="1:2" hidden="1" x14ac:dyDescent="0.25">
      <c r="A1569" s="476" t="s">
        <v>2962</v>
      </c>
      <c r="B1569" s="481">
        <v>0.47569444444444442</v>
      </c>
    </row>
    <row r="1570" spans="1:2" hidden="1" x14ac:dyDescent="0.25">
      <c r="A1570" s="476" t="s">
        <v>2963</v>
      </c>
      <c r="B1570" s="481">
        <v>0.47430555555555554</v>
      </c>
    </row>
    <row r="1571" spans="1:2" hidden="1" x14ac:dyDescent="0.25">
      <c r="A1571" s="476" t="s">
        <v>2964</v>
      </c>
      <c r="B1571" s="481">
        <v>0.47500000000000003</v>
      </c>
    </row>
    <row r="1572" spans="1:2" hidden="1" x14ac:dyDescent="0.25">
      <c r="A1572" s="476" t="s">
        <v>2965</v>
      </c>
      <c r="B1572" s="481">
        <v>0.47500000000000003</v>
      </c>
    </row>
    <row r="1573" spans="1:2" hidden="1" x14ac:dyDescent="0.25">
      <c r="A1573" s="476" t="s">
        <v>2966</v>
      </c>
      <c r="B1573" s="481">
        <v>0.47430555555555554</v>
      </c>
    </row>
    <row r="1574" spans="1:2" hidden="1" x14ac:dyDescent="0.25">
      <c r="A1574" s="476" t="s">
        <v>2967</v>
      </c>
      <c r="B1574" s="481">
        <v>0.47569444444444442</v>
      </c>
    </row>
    <row r="1575" spans="1:2" hidden="1" x14ac:dyDescent="0.25">
      <c r="A1575" s="476" t="s">
        <v>2968</v>
      </c>
      <c r="B1575" s="481">
        <v>0.47500000000000003</v>
      </c>
    </row>
    <row r="1576" spans="1:2" hidden="1" x14ac:dyDescent="0.25">
      <c r="A1576" s="476" t="s">
        <v>2969</v>
      </c>
      <c r="B1576" s="481">
        <v>0.47500000000000003</v>
      </c>
    </row>
    <row r="1577" spans="1:2" hidden="1" x14ac:dyDescent="0.25">
      <c r="A1577" s="476" t="s">
        <v>2970</v>
      </c>
      <c r="B1577" s="481">
        <v>0.47500000000000003</v>
      </c>
    </row>
    <row r="1578" spans="1:2" hidden="1" x14ac:dyDescent="0.25">
      <c r="A1578" s="476" t="s">
        <v>2971</v>
      </c>
      <c r="B1578" s="481">
        <v>0.47500000000000003</v>
      </c>
    </row>
    <row r="1579" spans="1:2" hidden="1" x14ac:dyDescent="0.25">
      <c r="A1579" s="476" t="s">
        <v>2972</v>
      </c>
      <c r="B1579" s="481">
        <v>0.47500000000000003</v>
      </c>
    </row>
    <row r="1580" spans="1:2" hidden="1" x14ac:dyDescent="0.25">
      <c r="A1580" s="476" t="s">
        <v>2973</v>
      </c>
      <c r="B1580" s="481">
        <v>0.47500000000000003</v>
      </c>
    </row>
    <row r="1581" spans="1:2" hidden="1" x14ac:dyDescent="0.25">
      <c r="A1581" s="476" t="s">
        <v>2974</v>
      </c>
      <c r="B1581" s="481">
        <v>0.47500000000000003</v>
      </c>
    </row>
    <row r="1582" spans="1:2" hidden="1" x14ac:dyDescent="0.25">
      <c r="A1582" s="476" t="s">
        <v>2975</v>
      </c>
      <c r="B1582" s="481">
        <v>0.47500000000000003</v>
      </c>
    </row>
    <row r="1583" spans="1:2" hidden="1" x14ac:dyDescent="0.25">
      <c r="A1583" s="476" t="s">
        <v>2976</v>
      </c>
      <c r="B1583" s="481">
        <v>0.47500000000000003</v>
      </c>
    </row>
    <row r="1584" spans="1:2" hidden="1" x14ac:dyDescent="0.25">
      <c r="A1584" s="476" t="s">
        <v>2977</v>
      </c>
      <c r="B1584" s="481">
        <v>0.47500000000000003</v>
      </c>
    </row>
    <row r="1585" spans="1:2" hidden="1" x14ac:dyDescent="0.25">
      <c r="A1585" s="476" t="s">
        <v>2978</v>
      </c>
      <c r="B1585" s="481">
        <v>0.47500000000000003</v>
      </c>
    </row>
    <row r="1586" spans="1:2" hidden="1" x14ac:dyDescent="0.25">
      <c r="A1586" s="476" t="s">
        <v>2979</v>
      </c>
      <c r="B1586" s="481">
        <v>0.47500000000000003</v>
      </c>
    </row>
    <row r="1587" spans="1:2" hidden="1" x14ac:dyDescent="0.25">
      <c r="A1587" s="476" t="s">
        <v>2980</v>
      </c>
      <c r="B1587" s="481">
        <v>0.47500000000000003</v>
      </c>
    </row>
    <row r="1588" spans="1:2" hidden="1" x14ac:dyDescent="0.25">
      <c r="A1588" s="476" t="s">
        <v>2981</v>
      </c>
      <c r="B1588" s="481">
        <v>0.47500000000000003</v>
      </c>
    </row>
    <row r="1589" spans="1:2" hidden="1" x14ac:dyDescent="0.25">
      <c r="A1589" s="476" t="s">
        <v>2982</v>
      </c>
      <c r="B1589" s="481">
        <v>0.47430555555555554</v>
      </c>
    </row>
    <row r="1590" spans="1:2" hidden="1" x14ac:dyDescent="0.25">
      <c r="A1590" s="476" t="s">
        <v>2983</v>
      </c>
      <c r="B1590" s="481">
        <v>0.47500000000000003</v>
      </c>
    </row>
    <row r="1591" spans="1:2" hidden="1" x14ac:dyDescent="0.25">
      <c r="A1591" s="476" t="s">
        <v>2984</v>
      </c>
      <c r="B1591" s="481">
        <v>0.47500000000000003</v>
      </c>
    </row>
    <row r="1592" spans="1:2" hidden="1" x14ac:dyDescent="0.25">
      <c r="A1592" s="476" t="s">
        <v>2985</v>
      </c>
      <c r="B1592" s="481">
        <v>0.47500000000000003</v>
      </c>
    </row>
    <row r="1593" spans="1:2" hidden="1" x14ac:dyDescent="0.25">
      <c r="A1593" s="476" t="s">
        <v>2986</v>
      </c>
      <c r="B1593" s="481">
        <v>0.47500000000000003</v>
      </c>
    </row>
    <row r="1594" spans="1:2" hidden="1" x14ac:dyDescent="0.25">
      <c r="A1594" s="476" t="s">
        <v>2987</v>
      </c>
      <c r="B1594" s="481">
        <v>0.47500000000000003</v>
      </c>
    </row>
    <row r="1595" spans="1:2" hidden="1" x14ac:dyDescent="0.25">
      <c r="A1595" s="476" t="s">
        <v>2988</v>
      </c>
      <c r="B1595" s="481">
        <v>0.47500000000000003</v>
      </c>
    </row>
    <row r="1596" spans="1:2" hidden="1" x14ac:dyDescent="0.25">
      <c r="A1596" s="476" t="s">
        <v>2989</v>
      </c>
      <c r="B1596" s="481">
        <v>0.47569444444444442</v>
      </c>
    </row>
    <row r="1597" spans="1:2" hidden="1" x14ac:dyDescent="0.25">
      <c r="A1597" s="476" t="s">
        <v>2990</v>
      </c>
      <c r="B1597" s="481">
        <v>0.47430555555555554</v>
      </c>
    </row>
    <row r="1598" spans="1:2" hidden="1" x14ac:dyDescent="0.25">
      <c r="A1598" s="476" t="s">
        <v>2991</v>
      </c>
      <c r="B1598" s="481">
        <v>0.47500000000000003</v>
      </c>
    </row>
    <row r="1599" spans="1:2" hidden="1" x14ac:dyDescent="0.25">
      <c r="A1599" s="476" t="s">
        <v>2992</v>
      </c>
      <c r="B1599" s="481">
        <v>0.47500000000000003</v>
      </c>
    </row>
    <row r="1600" spans="1:2" hidden="1" x14ac:dyDescent="0.25">
      <c r="A1600" s="476" t="s">
        <v>2993</v>
      </c>
      <c r="B1600" s="481">
        <v>0.47500000000000003</v>
      </c>
    </row>
    <row r="1601" spans="1:2" hidden="1" x14ac:dyDescent="0.25">
      <c r="A1601" s="476" t="s">
        <v>2994</v>
      </c>
      <c r="B1601" s="481">
        <v>0.47500000000000003</v>
      </c>
    </row>
    <row r="1602" spans="1:2" hidden="1" x14ac:dyDescent="0.25">
      <c r="A1602" s="476" t="s">
        <v>2995</v>
      </c>
      <c r="B1602" s="481">
        <v>0.47500000000000003</v>
      </c>
    </row>
    <row r="1603" spans="1:2" hidden="1" x14ac:dyDescent="0.25">
      <c r="A1603" s="476" t="s">
        <v>2996</v>
      </c>
      <c r="B1603" s="481">
        <v>0.47500000000000003</v>
      </c>
    </row>
    <row r="1604" spans="1:2" hidden="1" x14ac:dyDescent="0.25">
      <c r="A1604" s="476" t="s">
        <v>2997</v>
      </c>
      <c r="B1604" s="481">
        <v>0.47500000000000003</v>
      </c>
    </row>
    <row r="1605" spans="1:2" hidden="1" x14ac:dyDescent="0.25">
      <c r="A1605" s="476" t="s">
        <v>2998</v>
      </c>
      <c r="B1605" s="481">
        <v>0.47500000000000003</v>
      </c>
    </row>
    <row r="1606" spans="1:2" hidden="1" x14ac:dyDescent="0.25">
      <c r="A1606" s="476" t="s">
        <v>2999</v>
      </c>
      <c r="B1606" s="481">
        <v>0.47500000000000003</v>
      </c>
    </row>
    <row r="1607" spans="1:2" hidden="1" x14ac:dyDescent="0.25">
      <c r="A1607" s="476" t="s">
        <v>3000</v>
      </c>
      <c r="B1607" s="481">
        <v>0.47430555555555554</v>
      </c>
    </row>
    <row r="1608" spans="1:2" hidden="1" x14ac:dyDescent="0.25">
      <c r="A1608" s="476" t="s">
        <v>3001</v>
      </c>
      <c r="B1608" s="481">
        <v>0.47500000000000003</v>
      </c>
    </row>
    <row r="1609" spans="1:2" hidden="1" x14ac:dyDescent="0.25">
      <c r="A1609" s="476" t="s">
        <v>3002</v>
      </c>
      <c r="B1609" s="481">
        <v>0.47500000000000003</v>
      </c>
    </row>
    <row r="1610" spans="1:2" hidden="1" x14ac:dyDescent="0.25">
      <c r="A1610" s="476" t="s">
        <v>3003</v>
      </c>
      <c r="B1610" s="481">
        <v>0.47500000000000003</v>
      </c>
    </row>
    <row r="1611" spans="1:2" hidden="1" x14ac:dyDescent="0.25">
      <c r="A1611" s="476" t="s">
        <v>3004</v>
      </c>
      <c r="B1611" s="481">
        <v>0.47500000000000003</v>
      </c>
    </row>
    <row r="1612" spans="1:2" hidden="1" x14ac:dyDescent="0.25">
      <c r="A1612" s="476" t="s">
        <v>3005</v>
      </c>
      <c r="B1612" s="481">
        <v>0.47500000000000003</v>
      </c>
    </row>
    <row r="1613" spans="1:2" hidden="1" x14ac:dyDescent="0.25">
      <c r="A1613" s="476" t="s">
        <v>3006</v>
      </c>
      <c r="B1613" s="481">
        <v>0.47500000000000003</v>
      </c>
    </row>
    <row r="1614" spans="1:2" hidden="1" x14ac:dyDescent="0.25">
      <c r="A1614" s="476" t="s">
        <v>3007</v>
      </c>
      <c r="B1614" s="481">
        <v>0.47500000000000003</v>
      </c>
    </row>
    <row r="1615" spans="1:2" hidden="1" x14ac:dyDescent="0.25">
      <c r="A1615" s="476" t="s">
        <v>3008</v>
      </c>
      <c r="B1615" s="481">
        <v>0.47500000000000003</v>
      </c>
    </row>
    <row r="1616" spans="1:2" hidden="1" x14ac:dyDescent="0.25">
      <c r="A1616" s="476" t="s">
        <v>3009</v>
      </c>
      <c r="B1616" s="481">
        <v>0.47500000000000003</v>
      </c>
    </row>
    <row r="1617" spans="1:2" hidden="1" x14ac:dyDescent="0.25">
      <c r="A1617" s="476" t="s">
        <v>3010</v>
      </c>
      <c r="B1617" s="481">
        <v>0.47500000000000003</v>
      </c>
    </row>
    <row r="1618" spans="1:2" hidden="1" x14ac:dyDescent="0.25">
      <c r="A1618" s="476" t="s">
        <v>3011</v>
      </c>
      <c r="B1618" s="481">
        <v>0.47430555555555554</v>
      </c>
    </row>
    <row r="1619" spans="1:2" hidden="1" x14ac:dyDescent="0.25">
      <c r="A1619" s="476" t="s">
        <v>3012</v>
      </c>
      <c r="B1619" s="481">
        <v>0.47500000000000003</v>
      </c>
    </row>
    <row r="1620" spans="1:2" hidden="1" x14ac:dyDescent="0.25">
      <c r="A1620" s="476" t="s">
        <v>3013</v>
      </c>
      <c r="B1620" s="481">
        <v>0.47500000000000003</v>
      </c>
    </row>
    <row r="1621" spans="1:2" hidden="1" x14ac:dyDescent="0.25">
      <c r="A1621" s="476" t="s">
        <v>3014</v>
      </c>
      <c r="B1621" s="481">
        <v>0.47500000000000003</v>
      </c>
    </row>
    <row r="1622" spans="1:2" hidden="1" x14ac:dyDescent="0.25">
      <c r="A1622" s="476" t="s">
        <v>3015</v>
      </c>
      <c r="B1622" s="481">
        <v>0.47500000000000003</v>
      </c>
    </row>
    <row r="1623" spans="1:2" hidden="1" x14ac:dyDescent="0.25">
      <c r="A1623" s="476" t="s">
        <v>3016</v>
      </c>
      <c r="B1623" s="481">
        <v>0.47361111111111115</v>
      </c>
    </row>
    <row r="1624" spans="1:2" hidden="1" x14ac:dyDescent="0.25">
      <c r="A1624" s="476" t="s">
        <v>3017</v>
      </c>
      <c r="B1624" s="481">
        <v>0.47430555555555554</v>
      </c>
    </row>
    <row r="1625" spans="1:2" x14ac:dyDescent="0.25">
      <c r="A1625" s="476" t="s">
        <v>3018</v>
      </c>
      <c r="B1625" s="481">
        <v>0.47430555555555554</v>
      </c>
    </row>
    <row r="1626" spans="1:2" hidden="1" x14ac:dyDescent="0.25">
      <c r="A1626" s="476" t="s">
        <v>3019</v>
      </c>
      <c r="B1626" s="481">
        <v>0.47500000000000003</v>
      </c>
    </row>
    <row r="1627" spans="1:2" hidden="1" x14ac:dyDescent="0.25">
      <c r="A1627" s="476" t="s">
        <v>3020</v>
      </c>
      <c r="B1627" s="481">
        <v>0.47500000000000003</v>
      </c>
    </row>
    <row r="1628" spans="1:2" hidden="1" x14ac:dyDescent="0.25">
      <c r="A1628" s="476" t="s">
        <v>3021</v>
      </c>
      <c r="B1628" s="481">
        <v>0.47500000000000003</v>
      </c>
    </row>
    <row r="1629" spans="1:2" hidden="1" x14ac:dyDescent="0.25">
      <c r="A1629" s="476" t="s">
        <v>3022</v>
      </c>
      <c r="B1629" s="481">
        <v>0.47500000000000003</v>
      </c>
    </row>
    <row r="1630" spans="1:2" hidden="1" x14ac:dyDescent="0.25">
      <c r="A1630" s="476" t="s">
        <v>3023</v>
      </c>
      <c r="B1630" s="481">
        <v>0.47500000000000003</v>
      </c>
    </row>
    <row r="1631" spans="1:2" hidden="1" x14ac:dyDescent="0.25">
      <c r="A1631" s="476" t="s">
        <v>3024</v>
      </c>
      <c r="B1631" s="481">
        <v>0.47500000000000003</v>
      </c>
    </row>
    <row r="1632" spans="1:2" hidden="1" x14ac:dyDescent="0.25">
      <c r="A1632" s="476" t="s">
        <v>3025</v>
      </c>
      <c r="B1632" s="481">
        <v>0.47500000000000003</v>
      </c>
    </row>
    <row r="1633" spans="1:2" hidden="1" x14ac:dyDescent="0.25">
      <c r="A1633" s="476" t="s">
        <v>3026</v>
      </c>
      <c r="B1633" s="481">
        <v>0.47500000000000003</v>
      </c>
    </row>
    <row r="1634" spans="1:2" hidden="1" x14ac:dyDescent="0.25">
      <c r="A1634" s="476" t="s">
        <v>3027</v>
      </c>
      <c r="B1634" s="481">
        <v>0.47500000000000003</v>
      </c>
    </row>
    <row r="1635" spans="1:2" hidden="1" x14ac:dyDescent="0.25">
      <c r="A1635" s="476" t="s">
        <v>3028</v>
      </c>
      <c r="B1635" s="481">
        <v>0.47500000000000003</v>
      </c>
    </row>
    <row r="1636" spans="1:2" hidden="1" x14ac:dyDescent="0.25">
      <c r="A1636" s="476" t="s">
        <v>3029</v>
      </c>
      <c r="B1636" s="481">
        <v>0.47500000000000003</v>
      </c>
    </row>
    <row r="1637" spans="1:2" hidden="1" x14ac:dyDescent="0.25">
      <c r="A1637" s="476" t="s">
        <v>3030</v>
      </c>
      <c r="B1637" s="481">
        <v>0.47500000000000003</v>
      </c>
    </row>
    <row r="1638" spans="1:2" hidden="1" x14ac:dyDescent="0.25">
      <c r="A1638" s="476" t="s">
        <v>3031</v>
      </c>
      <c r="B1638" s="481">
        <v>0.47500000000000003</v>
      </c>
    </row>
    <row r="1639" spans="1:2" hidden="1" x14ac:dyDescent="0.25">
      <c r="A1639" s="476" t="s">
        <v>3032</v>
      </c>
      <c r="B1639" s="481">
        <v>0.47430555555555554</v>
      </c>
    </row>
    <row r="1640" spans="1:2" hidden="1" x14ac:dyDescent="0.25">
      <c r="A1640" s="476" t="s">
        <v>3033</v>
      </c>
      <c r="B1640" s="481">
        <v>0.47500000000000003</v>
      </c>
    </row>
    <row r="1641" spans="1:2" hidden="1" x14ac:dyDescent="0.25">
      <c r="A1641" s="476" t="s">
        <v>3034</v>
      </c>
      <c r="B1641" s="481">
        <v>0.47500000000000003</v>
      </c>
    </row>
    <row r="1642" spans="1:2" hidden="1" x14ac:dyDescent="0.25">
      <c r="A1642" s="476" t="s">
        <v>3035</v>
      </c>
      <c r="B1642" s="481">
        <v>0.47500000000000003</v>
      </c>
    </row>
    <row r="1643" spans="1:2" hidden="1" x14ac:dyDescent="0.25">
      <c r="A1643" s="476" t="s">
        <v>3036</v>
      </c>
      <c r="B1643" s="481">
        <v>0.47500000000000003</v>
      </c>
    </row>
    <row r="1644" spans="1:2" hidden="1" x14ac:dyDescent="0.25">
      <c r="A1644" s="476" t="s">
        <v>3037</v>
      </c>
      <c r="B1644" s="481">
        <v>0.47500000000000003</v>
      </c>
    </row>
    <row r="1645" spans="1:2" hidden="1" x14ac:dyDescent="0.25">
      <c r="A1645" s="476" t="s">
        <v>3038</v>
      </c>
      <c r="B1645" s="481">
        <v>0.47500000000000003</v>
      </c>
    </row>
    <row r="1646" spans="1:2" hidden="1" x14ac:dyDescent="0.25">
      <c r="A1646" s="476" t="s">
        <v>3039</v>
      </c>
      <c r="B1646" s="481">
        <v>0.47500000000000003</v>
      </c>
    </row>
    <row r="1647" spans="1:2" hidden="1" x14ac:dyDescent="0.25">
      <c r="A1647" s="476" t="s">
        <v>3040</v>
      </c>
      <c r="B1647" s="481">
        <v>0.47500000000000003</v>
      </c>
    </row>
    <row r="1648" spans="1:2" hidden="1" x14ac:dyDescent="0.25">
      <c r="A1648" s="476" t="s">
        <v>3041</v>
      </c>
      <c r="B1648" s="481">
        <v>0.47430555555555554</v>
      </c>
    </row>
    <row r="1649" spans="1:2" hidden="1" x14ac:dyDescent="0.25">
      <c r="A1649" s="476" t="s">
        <v>3042</v>
      </c>
      <c r="B1649" s="481">
        <v>0.47500000000000003</v>
      </c>
    </row>
    <row r="1650" spans="1:2" hidden="1" x14ac:dyDescent="0.25">
      <c r="A1650" s="476" t="s">
        <v>3043</v>
      </c>
      <c r="B1650" s="481">
        <v>0.47500000000000003</v>
      </c>
    </row>
    <row r="1651" spans="1:2" hidden="1" x14ac:dyDescent="0.25">
      <c r="A1651" s="476" t="s">
        <v>3044</v>
      </c>
      <c r="B1651" s="481">
        <v>0.47500000000000003</v>
      </c>
    </row>
    <row r="1652" spans="1:2" hidden="1" x14ac:dyDescent="0.25">
      <c r="A1652" s="476" t="s">
        <v>3045</v>
      </c>
      <c r="B1652" s="481">
        <v>0.47500000000000003</v>
      </c>
    </row>
    <row r="1653" spans="1:2" hidden="1" x14ac:dyDescent="0.25">
      <c r="A1653" s="476" t="s">
        <v>3046</v>
      </c>
      <c r="B1653" s="481">
        <v>0.47430555555555554</v>
      </c>
    </row>
    <row r="1654" spans="1:2" hidden="1" x14ac:dyDescent="0.25">
      <c r="A1654" s="476" t="s">
        <v>3047</v>
      </c>
      <c r="B1654" s="481">
        <v>0.47500000000000003</v>
      </c>
    </row>
    <row r="1655" spans="1:2" hidden="1" x14ac:dyDescent="0.25">
      <c r="A1655" s="476" t="s">
        <v>3048</v>
      </c>
      <c r="B1655" s="481">
        <v>0.47500000000000003</v>
      </c>
    </row>
    <row r="1656" spans="1:2" hidden="1" x14ac:dyDescent="0.25">
      <c r="A1656" s="476" t="s">
        <v>3049</v>
      </c>
      <c r="B1656" s="481">
        <v>0.47500000000000003</v>
      </c>
    </row>
    <row r="1657" spans="1:2" hidden="1" x14ac:dyDescent="0.25">
      <c r="A1657" s="476" t="s">
        <v>3050</v>
      </c>
      <c r="B1657" s="481">
        <v>0.47500000000000003</v>
      </c>
    </row>
    <row r="1658" spans="1:2" hidden="1" x14ac:dyDescent="0.25">
      <c r="A1658" s="476" t="s">
        <v>3051</v>
      </c>
      <c r="B1658" s="481">
        <v>0.47500000000000003</v>
      </c>
    </row>
    <row r="1659" spans="1:2" hidden="1" x14ac:dyDescent="0.25">
      <c r="A1659" s="476" t="s">
        <v>3052</v>
      </c>
      <c r="B1659" s="481">
        <v>0.47500000000000003</v>
      </c>
    </row>
    <row r="1660" spans="1:2" hidden="1" x14ac:dyDescent="0.25">
      <c r="A1660" s="476" t="s">
        <v>3053</v>
      </c>
      <c r="B1660" s="481">
        <v>0.47500000000000003</v>
      </c>
    </row>
    <row r="1661" spans="1:2" hidden="1" x14ac:dyDescent="0.25">
      <c r="A1661" s="476" t="s">
        <v>3054</v>
      </c>
      <c r="B1661" s="481">
        <v>0.47500000000000003</v>
      </c>
    </row>
    <row r="1662" spans="1:2" hidden="1" x14ac:dyDescent="0.25">
      <c r="A1662" s="476" t="s">
        <v>3055</v>
      </c>
      <c r="B1662" s="481">
        <v>0.47500000000000003</v>
      </c>
    </row>
    <row r="1663" spans="1:2" hidden="1" x14ac:dyDescent="0.25">
      <c r="A1663" s="476" t="s">
        <v>3056</v>
      </c>
      <c r="B1663" s="481">
        <v>0.47500000000000003</v>
      </c>
    </row>
    <row r="1664" spans="1:2" hidden="1" x14ac:dyDescent="0.25">
      <c r="A1664" s="476" t="s">
        <v>3057</v>
      </c>
      <c r="B1664" s="481">
        <v>0.47500000000000003</v>
      </c>
    </row>
    <row r="1665" spans="1:2" hidden="1" x14ac:dyDescent="0.25">
      <c r="A1665" s="476" t="s">
        <v>3058</v>
      </c>
      <c r="B1665" s="481">
        <v>0.47500000000000003</v>
      </c>
    </row>
    <row r="1666" spans="1:2" hidden="1" x14ac:dyDescent="0.25">
      <c r="A1666" s="476" t="s">
        <v>3059</v>
      </c>
      <c r="B1666" s="481">
        <v>0.47430555555555554</v>
      </c>
    </row>
    <row r="1667" spans="1:2" hidden="1" x14ac:dyDescent="0.25">
      <c r="A1667" s="476" t="s">
        <v>3060</v>
      </c>
      <c r="B1667" s="481">
        <v>0.47500000000000003</v>
      </c>
    </row>
    <row r="1668" spans="1:2" hidden="1" x14ac:dyDescent="0.25">
      <c r="A1668" s="476" t="s">
        <v>3061</v>
      </c>
      <c r="B1668" s="481">
        <v>0.47500000000000003</v>
      </c>
    </row>
    <row r="1669" spans="1:2" hidden="1" x14ac:dyDescent="0.25">
      <c r="A1669" s="476" t="s">
        <v>3062</v>
      </c>
      <c r="B1669" s="481">
        <v>0.47500000000000003</v>
      </c>
    </row>
    <row r="1670" spans="1:2" hidden="1" x14ac:dyDescent="0.25">
      <c r="A1670" s="476" t="s">
        <v>3063</v>
      </c>
      <c r="B1670" s="481">
        <v>0.47500000000000003</v>
      </c>
    </row>
    <row r="1671" spans="1:2" hidden="1" x14ac:dyDescent="0.25">
      <c r="A1671" s="476" t="s">
        <v>3064</v>
      </c>
      <c r="B1671" s="481">
        <v>0.47500000000000003</v>
      </c>
    </row>
    <row r="1672" spans="1:2" hidden="1" x14ac:dyDescent="0.25">
      <c r="A1672" s="476" t="s">
        <v>3065</v>
      </c>
      <c r="B1672" s="481">
        <v>0.47500000000000003</v>
      </c>
    </row>
    <row r="1673" spans="1:2" hidden="1" x14ac:dyDescent="0.25">
      <c r="A1673" s="476" t="s">
        <v>3066</v>
      </c>
      <c r="B1673" s="481">
        <v>0.47500000000000003</v>
      </c>
    </row>
    <row r="1674" spans="1:2" hidden="1" x14ac:dyDescent="0.25">
      <c r="A1674" s="476" t="s">
        <v>3067</v>
      </c>
      <c r="B1674" s="481">
        <v>0.47500000000000003</v>
      </c>
    </row>
    <row r="1675" spans="1:2" hidden="1" x14ac:dyDescent="0.25">
      <c r="A1675" s="476" t="s">
        <v>3068</v>
      </c>
      <c r="B1675" s="481">
        <v>0.47500000000000003</v>
      </c>
    </row>
    <row r="1676" spans="1:2" hidden="1" x14ac:dyDescent="0.25">
      <c r="A1676" s="476" t="s">
        <v>3069</v>
      </c>
      <c r="B1676" s="481">
        <v>0.47500000000000003</v>
      </c>
    </row>
    <row r="1677" spans="1:2" hidden="1" x14ac:dyDescent="0.25">
      <c r="A1677" s="476" t="s">
        <v>3070</v>
      </c>
      <c r="B1677" s="481">
        <v>0.47500000000000003</v>
      </c>
    </row>
    <row r="1678" spans="1:2" hidden="1" x14ac:dyDescent="0.25">
      <c r="A1678" s="476" t="s">
        <v>3071</v>
      </c>
      <c r="B1678" s="481">
        <v>0.47500000000000003</v>
      </c>
    </row>
    <row r="1679" spans="1:2" hidden="1" x14ac:dyDescent="0.25">
      <c r="A1679" s="476" t="s">
        <v>3072</v>
      </c>
      <c r="B1679" s="481">
        <v>0.47500000000000003</v>
      </c>
    </row>
    <row r="1680" spans="1:2" hidden="1" x14ac:dyDescent="0.25">
      <c r="A1680" s="476" t="s">
        <v>3073</v>
      </c>
      <c r="B1680" s="481">
        <v>0.47430555555555554</v>
      </c>
    </row>
    <row r="1681" spans="1:2" hidden="1" x14ac:dyDescent="0.25">
      <c r="A1681" s="476" t="s">
        <v>3074</v>
      </c>
      <c r="B1681" s="481">
        <v>0.47500000000000003</v>
      </c>
    </row>
    <row r="1682" spans="1:2" hidden="1" x14ac:dyDescent="0.25">
      <c r="A1682" s="476" t="s">
        <v>3075</v>
      </c>
      <c r="B1682" s="481">
        <v>0.47500000000000003</v>
      </c>
    </row>
    <row r="1683" spans="1:2" hidden="1" x14ac:dyDescent="0.25">
      <c r="A1683" s="476" t="s">
        <v>3076</v>
      </c>
      <c r="B1683" s="481">
        <v>0.47500000000000003</v>
      </c>
    </row>
    <row r="1684" spans="1:2" hidden="1" x14ac:dyDescent="0.25">
      <c r="A1684" s="476" t="s">
        <v>3077</v>
      </c>
      <c r="B1684" s="481">
        <v>0.47430555555555554</v>
      </c>
    </row>
    <row r="1685" spans="1:2" hidden="1" x14ac:dyDescent="0.25">
      <c r="A1685" s="476" t="s">
        <v>3078</v>
      </c>
      <c r="B1685" s="481">
        <v>0.47500000000000003</v>
      </c>
    </row>
    <row r="1686" spans="1:2" hidden="1" x14ac:dyDescent="0.25">
      <c r="A1686" s="476" t="s">
        <v>3079</v>
      </c>
      <c r="B1686" s="481">
        <v>0.47569444444444442</v>
      </c>
    </row>
    <row r="1687" spans="1:2" hidden="1" x14ac:dyDescent="0.25">
      <c r="A1687" s="476" t="s">
        <v>3080</v>
      </c>
      <c r="B1687" s="481">
        <v>0.47500000000000003</v>
      </c>
    </row>
    <row r="1688" spans="1:2" hidden="1" x14ac:dyDescent="0.25">
      <c r="A1688" s="476" t="s">
        <v>3081</v>
      </c>
      <c r="B1688" s="481">
        <v>0.47500000000000003</v>
      </c>
    </row>
    <row r="1689" spans="1:2" hidden="1" x14ac:dyDescent="0.25">
      <c r="A1689" s="476" t="s">
        <v>3082</v>
      </c>
      <c r="B1689" s="481">
        <v>0.47500000000000003</v>
      </c>
    </row>
    <row r="1690" spans="1:2" hidden="1" x14ac:dyDescent="0.25">
      <c r="A1690" s="476" t="s">
        <v>3083</v>
      </c>
      <c r="B1690" s="481">
        <v>0.47500000000000003</v>
      </c>
    </row>
    <row r="1691" spans="1:2" hidden="1" x14ac:dyDescent="0.25">
      <c r="A1691" s="476" t="s">
        <v>3084</v>
      </c>
      <c r="B1691" s="481">
        <v>0.47500000000000003</v>
      </c>
    </row>
    <row r="1692" spans="1:2" hidden="1" x14ac:dyDescent="0.25">
      <c r="A1692" s="476" t="s">
        <v>3085</v>
      </c>
      <c r="B1692" s="481">
        <v>0.47500000000000003</v>
      </c>
    </row>
    <row r="1693" spans="1:2" hidden="1" x14ac:dyDescent="0.25">
      <c r="A1693" s="476" t="s">
        <v>3086</v>
      </c>
      <c r="B1693" s="481">
        <v>0.47500000000000003</v>
      </c>
    </row>
    <row r="1694" spans="1:2" hidden="1" x14ac:dyDescent="0.25">
      <c r="A1694" s="476" t="s">
        <v>3087</v>
      </c>
      <c r="B1694" s="481">
        <v>0.47430555555555554</v>
      </c>
    </row>
    <row r="1695" spans="1:2" hidden="1" x14ac:dyDescent="0.25">
      <c r="A1695" s="476" t="s">
        <v>3088</v>
      </c>
      <c r="B1695" s="481">
        <v>0.47500000000000003</v>
      </c>
    </row>
    <row r="1696" spans="1:2" hidden="1" x14ac:dyDescent="0.25">
      <c r="A1696" s="476" t="s">
        <v>3089</v>
      </c>
      <c r="B1696" s="481">
        <v>0.47500000000000003</v>
      </c>
    </row>
    <row r="1697" spans="1:2" hidden="1" x14ac:dyDescent="0.25">
      <c r="A1697" s="476" t="s">
        <v>3090</v>
      </c>
      <c r="B1697" s="481">
        <v>0.47569444444444442</v>
      </c>
    </row>
    <row r="1698" spans="1:2" hidden="1" x14ac:dyDescent="0.25">
      <c r="A1698" s="476" t="s">
        <v>3091</v>
      </c>
      <c r="B1698" s="481">
        <v>0.47430555555555554</v>
      </c>
    </row>
    <row r="1699" spans="1:2" hidden="1" x14ac:dyDescent="0.25">
      <c r="A1699" s="476" t="s">
        <v>3092</v>
      </c>
      <c r="B1699" s="481">
        <v>0.47569444444444442</v>
      </c>
    </row>
    <row r="1700" spans="1:2" hidden="1" x14ac:dyDescent="0.25">
      <c r="A1700" s="476" t="s">
        <v>3093</v>
      </c>
      <c r="B1700" s="481">
        <v>0.47500000000000003</v>
      </c>
    </row>
    <row r="1701" spans="1:2" hidden="1" x14ac:dyDescent="0.25">
      <c r="A1701" s="476" t="s">
        <v>3094</v>
      </c>
      <c r="B1701" s="481">
        <v>0.47500000000000003</v>
      </c>
    </row>
    <row r="1702" spans="1:2" hidden="1" x14ac:dyDescent="0.25">
      <c r="A1702" s="476" t="s">
        <v>3095</v>
      </c>
      <c r="B1702" s="481">
        <v>0.47500000000000003</v>
      </c>
    </row>
    <row r="1703" spans="1:2" hidden="1" x14ac:dyDescent="0.25">
      <c r="A1703" s="476" t="s">
        <v>3096</v>
      </c>
      <c r="B1703" s="481">
        <v>0.47569444444444442</v>
      </c>
    </row>
    <row r="1704" spans="1:2" hidden="1" x14ac:dyDescent="0.25">
      <c r="A1704" s="476" t="s">
        <v>3097</v>
      </c>
      <c r="B1704" s="481">
        <v>0.47500000000000003</v>
      </c>
    </row>
    <row r="1705" spans="1:2" hidden="1" x14ac:dyDescent="0.25">
      <c r="A1705" s="476" t="s">
        <v>3098</v>
      </c>
      <c r="B1705" s="481">
        <v>0.47500000000000003</v>
      </c>
    </row>
    <row r="1706" spans="1:2" hidden="1" x14ac:dyDescent="0.25">
      <c r="A1706" s="476" t="s">
        <v>3099</v>
      </c>
      <c r="B1706" s="481">
        <v>0.47500000000000003</v>
      </c>
    </row>
    <row r="1707" spans="1:2" hidden="1" x14ac:dyDescent="0.25">
      <c r="A1707" s="476" t="s">
        <v>3100</v>
      </c>
      <c r="B1707" s="481">
        <v>0.47500000000000003</v>
      </c>
    </row>
    <row r="1708" spans="1:2" hidden="1" x14ac:dyDescent="0.25">
      <c r="A1708" s="476" t="s">
        <v>3101</v>
      </c>
      <c r="B1708" s="481">
        <v>0.47500000000000003</v>
      </c>
    </row>
    <row r="1709" spans="1:2" hidden="1" x14ac:dyDescent="0.25">
      <c r="A1709" s="476" t="s">
        <v>3102</v>
      </c>
      <c r="B1709" s="481">
        <v>0.47500000000000003</v>
      </c>
    </row>
    <row r="1710" spans="1:2" hidden="1" x14ac:dyDescent="0.25">
      <c r="A1710" s="476" t="s">
        <v>3103</v>
      </c>
      <c r="B1710" s="481">
        <v>0.47500000000000003</v>
      </c>
    </row>
    <row r="1711" spans="1:2" hidden="1" x14ac:dyDescent="0.25">
      <c r="A1711" s="476" t="s">
        <v>3104</v>
      </c>
      <c r="B1711" s="481">
        <v>0.47500000000000003</v>
      </c>
    </row>
    <row r="1712" spans="1:2" hidden="1" x14ac:dyDescent="0.25">
      <c r="A1712" s="476" t="s">
        <v>3105</v>
      </c>
      <c r="B1712" s="481">
        <v>0.47500000000000003</v>
      </c>
    </row>
    <row r="1713" spans="1:2" hidden="1" x14ac:dyDescent="0.25">
      <c r="A1713" s="476" t="s">
        <v>3106</v>
      </c>
      <c r="B1713" s="481">
        <v>0.47500000000000003</v>
      </c>
    </row>
    <row r="1714" spans="1:2" hidden="1" x14ac:dyDescent="0.25">
      <c r="A1714" s="476" t="s">
        <v>3107</v>
      </c>
      <c r="B1714" s="481">
        <v>0.47569444444444442</v>
      </c>
    </row>
    <row r="1715" spans="1:2" hidden="1" x14ac:dyDescent="0.25">
      <c r="A1715" s="476" t="s">
        <v>3108</v>
      </c>
      <c r="B1715" s="481">
        <v>0.47500000000000003</v>
      </c>
    </row>
    <row r="1716" spans="1:2" hidden="1" x14ac:dyDescent="0.25">
      <c r="A1716" s="476" t="s">
        <v>3109</v>
      </c>
      <c r="B1716" s="481">
        <v>0.47500000000000003</v>
      </c>
    </row>
    <row r="1717" spans="1:2" hidden="1" x14ac:dyDescent="0.25">
      <c r="A1717" s="476" t="s">
        <v>3110</v>
      </c>
      <c r="B1717" s="481">
        <v>0.47500000000000003</v>
      </c>
    </row>
    <row r="1718" spans="1:2" hidden="1" x14ac:dyDescent="0.25">
      <c r="A1718" s="476" t="s">
        <v>3111</v>
      </c>
      <c r="B1718" s="481">
        <v>0.47500000000000003</v>
      </c>
    </row>
    <row r="1719" spans="1:2" hidden="1" x14ac:dyDescent="0.25">
      <c r="A1719" s="476" t="s">
        <v>3112</v>
      </c>
      <c r="B1719" s="481">
        <v>0.47500000000000003</v>
      </c>
    </row>
    <row r="1720" spans="1:2" hidden="1" x14ac:dyDescent="0.25">
      <c r="A1720" s="476" t="s">
        <v>3113</v>
      </c>
      <c r="B1720" s="481">
        <v>0.47500000000000003</v>
      </c>
    </row>
    <row r="1721" spans="1:2" hidden="1" x14ac:dyDescent="0.25">
      <c r="A1721" s="476" t="s">
        <v>3114</v>
      </c>
      <c r="B1721" s="481">
        <v>0.47500000000000003</v>
      </c>
    </row>
    <row r="1722" spans="1:2" hidden="1" x14ac:dyDescent="0.25">
      <c r="A1722" s="476" t="s">
        <v>3115</v>
      </c>
      <c r="B1722" s="481">
        <v>0.47500000000000003</v>
      </c>
    </row>
    <row r="1723" spans="1:2" hidden="1" x14ac:dyDescent="0.25">
      <c r="A1723" s="476" t="s">
        <v>3116</v>
      </c>
      <c r="B1723" s="481">
        <v>0.47430555555555554</v>
      </c>
    </row>
    <row r="1724" spans="1:2" hidden="1" x14ac:dyDescent="0.25">
      <c r="A1724" s="476" t="s">
        <v>3117</v>
      </c>
      <c r="B1724" s="481">
        <v>0.47500000000000003</v>
      </c>
    </row>
    <row r="1725" spans="1:2" hidden="1" x14ac:dyDescent="0.25">
      <c r="A1725" s="476" t="s">
        <v>3118</v>
      </c>
      <c r="B1725" s="481">
        <v>0.47500000000000003</v>
      </c>
    </row>
    <row r="1726" spans="1:2" hidden="1" x14ac:dyDescent="0.25">
      <c r="A1726" s="476" t="s">
        <v>3119</v>
      </c>
      <c r="B1726" s="481">
        <v>0.47500000000000003</v>
      </c>
    </row>
    <row r="1727" spans="1:2" hidden="1" x14ac:dyDescent="0.25">
      <c r="A1727" s="476" t="s">
        <v>3120</v>
      </c>
      <c r="B1727" s="481">
        <v>0.47500000000000003</v>
      </c>
    </row>
    <row r="1728" spans="1:2" hidden="1" x14ac:dyDescent="0.25">
      <c r="A1728" s="476" t="s">
        <v>3121</v>
      </c>
      <c r="B1728" s="481">
        <v>0.47500000000000003</v>
      </c>
    </row>
    <row r="1729" spans="1:2" hidden="1" x14ac:dyDescent="0.25">
      <c r="A1729" s="476" t="s">
        <v>3122</v>
      </c>
      <c r="B1729" s="481">
        <v>0.47500000000000003</v>
      </c>
    </row>
    <row r="1730" spans="1:2" hidden="1" x14ac:dyDescent="0.25">
      <c r="A1730" s="476" t="s">
        <v>3123</v>
      </c>
      <c r="B1730" s="481">
        <v>0.47500000000000003</v>
      </c>
    </row>
    <row r="1731" spans="1:2" hidden="1" x14ac:dyDescent="0.25">
      <c r="A1731" s="476" t="s">
        <v>3124</v>
      </c>
      <c r="B1731" s="481">
        <v>0.47500000000000003</v>
      </c>
    </row>
    <row r="1732" spans="1:2" hidden="1" x14ac:dyDescent="0.25">
      <c r="A1732" s="476" t="s">
        <v>3125</v>
      </c>
      <c r="B1732" s="481">
        <v>0.47500000000000003</v>
      </c>
    </row>
    <row r="1733" spans="1:2" hidden="1" x14ac:dyDescent="0.25">
      <c r="A1733" s="476" t="s">
        <v>3126</v>
      </c>
      <c r="B1733" s="481">
        <v>0.47500000000000003</v>
      </c>
    </row>
    <row r="1734" spans="1:2" hidden="1" x14ac:dyDescent="0.25">
      <c r="A1734" s="476" t="s">
        <v>3127</v>
      </c>
      <c r="B1734" s="481">
        <v>0.47500000000000003</v>
      </c>
    </row>
    <row r="1735" spans="1:2" hidden="1" x14ac:dyDescent="0.25">
      <c r="A1735" s="476" t="s">
        <v>3128</v>
      </c>
      <c r="B1735" s="481">
        <v>0.47500000000000003</v>
      </c>
    </row>
    <row r="1736" spans="1:2" hidden="1" x14ac:dyDescent="0.25">
      <c r="A1736" s="476" t="s">
        <v>3129</v>
      </c>
      <c r="B1736" s="481">
        <v>0.47500000000000003</v>
      </c>
    </row>
    <row r="1737" spans="1:2" hidden="1" x14ac:dyDescent="0.25">
      <c r="A1737" s="476" t="s">
        <v>3130</v>
      </c>
      <c r="B1737" s="481">
        <v>0.47500000000000003</v>
      </c>
    </row>
    <row r="1738" spans="1:2" hidden="1" x14ac:dyDescent="0.25">
      <c r="A1738" s="476" t="s">
        <v>3131</v>
      </c>
      <c r="B1738" s="481">
        <v>0.47500000000000003</v>
      </c>
    </row>
    <row r="1739" spans="1:2" hidden="1" x14ac:dyDescent="0.25">
      <c r="A1739" s="476" t="s">
        <v>3132</v>
      </c>
      <c r="B1739" s="481">
        <v>0.47569444444444442</v>
      </c>
    </row>
    <row r="1740" spans="1:2" hidden="1" x14ac:dyDescent="0.25">
      <c r="A1740" s="476" t="s">
        <v>3133</v>
      </c>
      <c r="B1740" s="481">
        <v>0.47500000000000003</v>
      </c>
    </row>
    <row r="1741" spans="1:2" hidden="1" x14ac:dyDescent="0.25">
      <c r="A1741" s="476" t="s">
        <v>3134</v>
      </c>
      <c r="B1741" s="481">
        <v>0.47500000000000003</v>
      </c>
    </row>
    <row r="1742" spans="1:2" hidden="1" x14ac:dyDescent="0.25">
      <c r="A1742" s="476" t="s">
        <v>3135</v>
      </c>
      <c r="B1742" s="481">
        <v>0.47500000000000003</v>
      </c>
    </row>
    <row r="1743" spans="1:2" hidden="1" x14ac:dyDescent="0.25">
      <c r="A1743" s="476" t="s">
        <v>3136</v>
      </c>
      <c r="B1743" s="481">
        <v>0.47500000000000003</v>
      </c>
    </row>
    <row r="1744" spans="1:2" hidden="1" x14ac:dyDescent="0.25">
      <c r="A1744" s="476" t="s">
        <v>3137</v>
      </c>
      <c r="B1744" s="481">
        <v>0.47430555555555554</v>
      </c>
    </row>
    <row r="1745" spans="1:2" hidden="1" x14ac:dyDescent="0.25">
      <c r="A1745" s="476" t="s">
        <v>3138</v>
      </c>
      <c r="B1745" s="481">
        <v>0.47569444444444442</v>
      </c>
    </row>
    <row r="1746" spans="1:2" hidden="1" x14ac:dyDescent="0.25">
      <c r="A1746" s="476" t="s">
        <v>3139</v>
      </c>
      <c r="B1746" s="481">
        <v>0.47500000000000003</v>
      </c>
    </row>
    <row r="1747" spans="1:2" hidden="1" x14ac:dyDescent="0.25">
      <c r="A1747" s="476" t="s">
        <v>3140</v>
      </c>
      <c r="B1747" s="481">
        <v>0.47569444444444442</v>
      </c>
    </row>
    <row r="1748" spans="1:2" hidden="1" x14ac:dyDescent="0.25">
      <c r="A1748" s="476" t="s">
        <v>3141</v>
      </c>
      <c r="B1748" s="481">
        <v>0.47500000000000003</v>
      </c>
    </row>
    <row r="1749" spans="1:2" hidden="1" x14ac:dyDescent="0.25">
      <c r="A1749" s="476" t="s">
        <v>3142</v>
      </c>
      <c r="B1749" s="481">
        <v>0.47500000000000003</v>
      </c>
    </row>
    <row r="1750" spans="1:2" hidden="1" x14ac:dyDescent="0.25">
      <c r="A1750" s="476" t="s">
        <v>3143</v>
      </c>
      <c r="B1750" s="481">
        <v>0.47500000000000003</v>
      </c>
    </row>
    <row r="1751" spans="1:2" hidden="1" x14ac:dyDescent="0.25">
      <c r="A1751" s="476" t="s">
        <v>3144</v>
      </c>
      <c r="B1751" s="481">
        <v>0.47638888888888892</v>
      </c>
    </row>
    <row r="1752" spans="1:2" hidden="1" x14ac:dyDescent="0.25">
      <c r="A1752" s="476" t="s">
        <v>3145</v>
      </c>
      <c r="B1752" s="481">
        <v>0.47638888888888892</v>
      </c>
    </row>
    <row r="1753" spans="1:2" hidden="1" x14ac:dyDescent="0.25">
      <c r="A1753" s="476" t="s">
        <v>3146</v>
      </c>
      <c r="B1753" s="481">
        <v>0.47638888888888892</v>
      </c>
    </row>
    <row r="1754" spans="1:2" hidden="1" x14ac:dyDescent="0.25">
      <c r="A1754" s="476" t="s">
        <v>3147</v>
      </c>
      <c r="B1754" s="481">
        <v>0.47638888888888892</v>
      </c>
    </row>
    <row r="1755" spans="1:2" hidden="1" x14ac:dyDescent="0.25">
      <c r="A1755" s="476" t="s">
        <v>3148</v>
      </c>
      <c r="B1755" s="481">
        <v>0.47638888888888892</v>
      </c>
    </row>
    <row r="1756" spans="1:2" hidden="1" x14ac:dyDescent="0.25">
      <c r="A1756" s="476" t="s">
        <v>3149</v>
      </c>
      <c r="B1756" s="481">
        <v>0.47638888888888892</v>
      </c>
    </row>
    <row r="1757" spans="1:2" hidden="1" x14ac:dyDescent="0.25">
      <c r="A1757" s="476" t="s">
        <v>3150</v>
      </c>
      <c r="B1757" s="481">
        <v>0.47638888888888892</v>
      </c>
    </row>
    <row r="1758" spans="1:2" hidden="1" x14ac:dyDescent="0.25">
      <c r="A1758" s="476" t="s">
        <v>3151</v>
      </c>
      <c r="B1758" s="481">
        <v>0.47638888888888892</v>
      </c>
    </row>
    <row r="1759" spans="1:2" hidden="1" x14ac:dyDescent="0.25">
      <c r="A1759" s="476" t="s">
        <v>3152</v>
      </c>
      <c r="B1759" s="481">
        <v>0.47638888888888892</v>
      </c>
    </row>
    <row r="1760" spans="1:2" hidden="1" x14ac:dyDescent="0.25">
      <c r="A1760" s="476" t="s">
        <v>3153</v>
      </c>
      <c r="B1760" s="481">
        <v>0.47638888888888892</v>
      </c>
    </row>
    <row r="1761" spans="1:2" hidden="1" x14ac:dyDescent="0.25">
      <c r="A1761" s="476" t="s">
        <v>3154</v>
      </c>
      <c r="B1761" s="481">
        <v>0.4770833333333333</v>
      </c>
    </row>
    <row r="1762" spans="1:2" hidden="1" x14ac:dyDescent="0.25">
      <c r="A1762" s="476" t="s">
        <v>3155</v>
      </c>
      <c r="B1762" s="481">
        <v>0.47638888888888892</v>
      </c>
    </row>
    <row r="1763" spans="1:2" hidden="1" x14ac:dyDescent="0.25">
      <c r="A1763" s="476" t="s">
        <v>3156</v>
      </c>
      <c r="B1763" s="481">
        <v>0.47638888888888892</v>
      </c>
    </row>
    <row r="1764" spans="1:2" hidden="1" x14ac:dyDescent="0.25">
      <c r="A1764" s="476" t="s">
        <v>3157</v>
      </c>
      <c r="B1764" s="481">
        <v>0.47638888888888892</v>
      </c>
    </row>
    <row r="1765" spans="1:2" hidden="1" x14ac:dyDescent="0.25">
      <c r="A1765" s="476" t="s">
        <v>3158</v>
      </c>
      <c r="B1765" s="481">
        <v>0.4770833333333333</v>
      </c>
    </row>
    <row r="1766" spans="1:2" hidden="1" x14ac:dyDescent="0.25">
      <c r="A1766" s="476" t="s">
        <v>3159</v>
      </c>
      <c r="B1766" s="481">
        <v>0.47638888888888892</v>
      </c>
    </row>
    <row r="1767" spans="1:2" hidden="1" x14ac:dyDescent="0.25">
      <c r="A1767" s="476" t="s">
        <v>3160</v>
      </c>
      <c r="B1767" s="481">
        <v>0.47638888888888892</v>
      </c>
    </row>
    <row r="1768" spans="1:2" hidden="1" x14ac:dyDescent="0.25">
      <c r="A1768" s="476" t="s">
        <v>3161</v>
      </c>
      <c r="B1768" s="481">
        <v>0.47638888888888892</v>
      </c>
    </row>
    <row r="1769" spans="1:2" hidden="1" x14ac:dyDescent="0.25">
      <c r="A1769" s="476" t="s">
        <v>3162</v>
      </c>
      <c r="B1769" s="481">
        <v>0.47638888888888892</v>
      </c>
    </row>
    <row r="1770" spans="1:2" hidden="1" x14ac:dyDescent="0.25">
      <c r="A1770" s="476" t="s">
        <v>3163</v>
      </c>
      <c r="B1770" s="481">
        <v>0.47638888888888892</v>
      </c>
    </row>
    <row r="1771" spans="1:2" hidden="1" x14ac:dyDescent="0.25">
      <c r="A1771" s="476" t="s">
        <v>3164</v>
      </c>
      <c r="B1771" s="481">
        <v>0.4770833333333333</v>
      </c>
    </row>
    <row r="1772" spans="1:2" hidden="1" x14ac:dyDescent="0.25">
      <c r="A1772" s="476" t="s">
        <v>3165</v>
      </c>
      <c r="B1772" s="481">
        <v>0.47638888888888892</v>
      </c>
    </row>
    <row r="1773" spans="1:2" hidden="1" x14ac:dyDescent="0.25">
      <c r="A1773" s="476" t="s">
        <v>3166</v>
      </c>
      <c r="B1773" s="481">
        <v>0.47638888888888892</v>
      </c>
    </row>
    <row r="1774" spans="1:2" hidden="1" x14ac:dyDescent="0.25">
      <c r="A1774" s="476" t="s">
        <v>3167</v>
      </c>
      <c r="B1774" s="481">
        <v>0.47638888888888892</v>
      </c>
    </row>
    <row r="1775" spans="1:2" hidden="1" x14ac:dyDescent="0.25">
      <c r="A1775" s="476" t="s">
        <v>3168</v>
      </c>
      <c r="B1775" s="481">
        <v>0.47638888888888892</v>
      </c>
    </row>
    <row r="1776" spans="1:2" hidden="1" x14ac:dyDescent="0.25">
      <c r="A1776" s="476" t="s">
        <v>3169</v>
      </c>
      <c r="B1776" s="481">
        <v>0.47638888888888892</v>
      </c>
    </row>
    <row r="1777" spans="1:2" hidden="1" x14ac:dyDescent="0.25">
      <c r="A1777" s="476" t="s">
        <v>3170</v>
      </c>
      <c r="B1777" s="481">
        <v>0.47638888888888892</v>
      </c>
    </row>
    <row r="1778" spans="1:2" hidden="1" x14ac:dyDescent="0.25">
      <c r="A1778" s="476" t="s">
        <v>3171</v>
      </c>
      <c r="B1778" s="481">
        <v>0.47638888888888892</v>
      </c>
    </row>
    <row r="1779" spans="1:2" hidden="1" x14ac:dyDescent="0.25">
      <c r="A1779" s="476" t="s">
        <v>3172</v>
      </c>
      <c r="B1779" s="481">
        <v>0.4770833333333333</v>
      </c>
    </row>
    <row r="1780" spans="1:2" hidden="1" x14ac:dyDescent="0.25">
      <c r="A1780" s="476" t="s">
        <v>3173</v>
      </c>
      <c r="B1780" s="481">
        <v>0.47569444444444442</v>
      </c>
    </row>
    <row r="1781" spans="1:2" hidden="1" x14ac:dyDescent="0.25">
      <c r="A1781" s="476" t="s">
        <v>3174</v>
      </c>
      <c r="B1781" s="481">
        <v>0.47638888888888892</v>
      </c>
    </row>
    <row r="1782" spans="1:2" hidden="1" x14ac:dyDescent="0.25">
      <c r="A1782" s="476" t="s">
        <v>3175</v>
      </c>
      <c r="B1782" s="481">
        <v>0.47638888888888892</v>
      </c>
    </row>
    <row r="1783" spans="1:2" hidden="1" x14ac:dyDescent="0.25">
      <c r="A1783" s="476" t="s">
        <v>3176</v>
      </c>
      <c r="B1783" s="481">
        <v>0.47638888888888892</v>
      </c>
    </row>
    <row r="1784" spans="1:2" hidden="1" x14ac:dyDescent="0.25">
      <c r="A1784" s="476" t="s">
        <v>3177</v>
      </c>
      <c r="B1784" s="481">
        <v>0.4770833333333333</v>
      </c>
    </row>
    <row r="1785" spans="1:2" hidden="1" x14ac:dyDescent="0.25">
      <c r="A1785" s="476" t="s">
        <v>3178</v>
      </c>
      <c r="B1785" s="481">
        <v>0.47638888888888892</v>
      </c>
    </row>
    <row r="1786" spans="1:2" hidden="1" x14ac:dyDescent="0.25">
      <c r="A1786" s="476" t="s">
        <v>3179</v>
      </c>
      <c r="B1786" s="481">
        <v>0.47638888888888892</v>
      </c>
    </row>
    <row r="1787" spans="1:2" hidden="1" x14ac:dyDescent="0.25">
      <c r="A1787" s="476" t="s">
        <v>3180</v>
      </c>
      <c r="B1787" s="481">
        <v>0.47638888888888892</v>
      </c>
    </row>
    <row r="1788" spans="1:2" hidden="1" x14ac:dyDescent="0.25">
      <c r="A1788" s="476" t="s">
        <v>3181</v>
      </c>
      <c r="B1788" s="481">
        <v>0.47638888888888892</v>
      </c>
    </row>
    <row r="1789" spans="1:2" hidden="1" x14ac:dyDescent="0.25">
      <c r="A1789" s="476" t="s">
        <v>3182</v>
      </c>
      <c r="B1789" s="481">
        <v>0.47638888888888892</v>
      </c>
    </row>
    <row r="1790" spans="1:2" hidden="1" x14ac:dyDescent="0.25">
      <c r="A1790" s="476" t="s">
        <v>3183</v>
      </c>
      <c r="B1790" s="481">
        <v>0.47638888888888892</v>
      </c>
    </row>
    <row r="1791" spans="1:2" hidden="1" x14ac:dyDescent="0.25">
      <c r="A1791" s="476" t="s">
        <v>3184</v>
      </c>
      <c r="B1791" s="481">
        <v>0.47638888888888892</v>
      </c>
    </row>
    <row r="1792" spans="1:2" hidden="1" x14ac:dyDescent="0.25">
      <c r="A1792" s="476" t="s">
        <v>3185</v>
      </c>
      <c r="B1792" s="481">
        <v>0.47638888888888892</v>
      </c>
    </row>
    <row r="1793" spans="1:2" hidden="1" x14ac:dyDescent="0.25">
      <c r="A1793" s="476" t="s">
        <v>3186</v>
      </c>
      <c r="B1793" s="481">
        <v>0.47638888888888892</v>
      </c>
    </row>
    <row r="1794" spans="1:2" hidden="1" x14ac:dyDescent="0.25">
      <c r="A1794" s="476" t="s">
        <v>3187</v>
      </c>
      <c r="B1794" s="481">
        <v>0.47638888888888892</v>
      </c>
    </row>
    <row r="1795" spans="1:2" hidden="1" x14ac:dyDescent="0.25">
      <c r="A1795" s="476" t="s">
        <v>3188</v>
      </c>
      <c r="B1795" s="481">
        <v>0.47638888888888892</v>
      </c>
    </row>
    <row r="1796" spans="1:2" hidden="1" x14ac:dyDescent="0.25">
      <c r="A1796" s="476" t="s">
        <v>3189</v>
      </c>
      <c r="B1796" s="481">
        <v>0.4770833333333333</v>
      </c>
    </row>
    <row r="1797" spans="1:2" hidden="1" x14ac:dyDescent="0.25">
      <c r="A1797" s="476" t="s">
        <v>3190</v>
      </c>
      <c r="B1797" s="481">
        <v>0.47638888888888892</v>
      </c>
    </row>
    <row r="1798" spans="1:2" hidden="1" x14ac:dyDescent="0.25">
      <c r="A1798" s="476" t="s">
        <v>3191</v>
      </c>
      <c r="B1798" s="481">
        <v>0.47638888888888892</v>
      </c>
    </row>
    <row r="1799" spans="1:2" hidden="1" x14ac:dyDescent="0.25">
      <c r="A1799" s="476" t="s">
        <v>3192</v>
      </c>
      <c r="B1799" s="481">
        <v>0.4770833333333333</v>
      </c>
    </row>
    <row r="1800" spans="1:2" hidden="1" x14ac:dyDescent="0.25">
      <c r="A1800" s="476" t="s">
        <v>3193</v>
      </c>
      <c r="B1800" s="481">
        <v>0.47638888888888892</v>
      </c>
    </row>
    <row r="1801" spans="1:2" hidden="1" x14ac:dyDescent="0.25">
      <c r="A1801" s="476" t="s">
        <v>3194</v>
      </c>
      <c r="B1801" s="481">
        <v>0.47638888888888892</v>
      </c>
    </row>
    <row r="1802" spans="1:2" hidden="1" x14ac:dyDescent="0.25">
      <c r="A1802" s="476" t="s">
        <v>3195</v>
      </c>
      <c r="B1802" s="481">
        <v>0.47638888888888892</v>
      </c>
    </row>
    <row r="1803" spans="1:2" hidden="1" x14ac:dyDescent="0.25">
      <c r="A1803" s="476" t="s">
        <v>3196</v>
      </c>
      <c r="B1803" s="481">
        <v>0.47638888888888892</v>
      </c>
    </row>
    <row r="1804" spans="1:2" hidden="1" x14ac:dyDescent="0.25">
      <c r="A1804" s="476" t="s">
        <v>3197</v>
      </c>
      <c r="B1804" s="481">
        <v>0.47638888888888892</v>
      </c>
    </row>
    <row r="1805" spans="1:2" hidden="1" x14ac:dyDescent="0.25">
      <c r="A1805" s="476" t="s">
        <v>3198</v>
      </c>
      <c r="B1805" s="481">
        <v>0.4770833333333333</v>
      </c>
    </row>
    <row r="1806" spans="1:2" hidden="1" x14ac:dyDescent="0.25">
      <c r="A1806" s="476" t="s">
        <v>3199</v>
      </c>
      <c r="B1806" s="481">
        <v>0.47638888888888892</v>
      </c>
    </row>
    <row r="1807" spans="1:2" hidden="1" x14ac:dyDescent="0.25">
      <c r="A1807" s="476" t="s">
        <v>3200</v>
      </c>
      <c r="B1807" s="481">
        <v>0.47638888888888892</v>
      </c>
    </row>
    <row r="1808" spans="1:2" hidden="1" x14ac:dyDescent="0.25">
      <c r="A1808" s="476" t="s">
        <v>3201</v>
      </c>
      <c r="B1808" s="481">
        <v>0.47638888888888892</v>
      </c>
    </row>
    <row r="1809" spans="1:2" hidden="1" x14ac:dyDescent="0.25">
      <c r="A1809" s="476" t="s">
        <v>3202</v>
      </c>
      <c r="B1809" s="481">
        <v>0.47638888888888892</v>
      </c>
    </row>
    <row r="1810" spans="1:2" hidden="1" x14ac:dyDescent="0.25">
      <c r="A1810" s="476" t="s">
        <v>3203</v>
      </c>
      <c r="B1810" s="481">
        <v>0.47638888888888892</v>
      </c>
    </row>
    <row r="1811" spans="1:2" hidden="1" x14ac:dyDescent="0.25">
      <c r="A1811" s="476" t="s">
        <v>3204</v>
      </c>
      <c r="B1811" s="481">
        <v>0.47569444444444442</v>
      </c>
    </row>
    <row r="1812" spans="1:2" hidden="1" x14ac:dyDescent="0.25">
      <c r="A1812" s="476" t="s">
        <v>3205</v>
      </c>
      <c r="B1812" s="481">
        <v>0.47569444444444442</v>
      </c>
    </row>
    <row r="1813" spans="1:2" hidden="1" x14ac:dyDescent="0.25">
      <c r="A1813" s="476" t="s">
        <v>3206</v>
      </c>
      <c r="B1813" s="481">
        <v>0.4770833333333333</v>
      </c>
    </row>
    <row r="1814" spans="1:2" hidden="1" x14ac:dyDescent="0.25">
      <c r="A1814" s="476" t="s">
        <v>3207</v>
      </c>
      <c r="B1814" s="481">
        <v>0.47638888888888892</v>
      </c>
    </row>
    <row r="1815" spans="1:2" hidden="1" x14ac:dyDescent="0.25">
      <c r="A1815" s="476" t="s">
        <v>3208</v>
      </c>
      <c r="B1815" s="481">
        <v>0.47638888888888892</v>
      </c>
    </row>
    <row r="1816" spans="1:2" hidden="1" x14ac:dyDescent="0.25">
      <c r="A1816" s="476" t="s">
        <v>3209</v>
      </c>
      <c r="B1816" s="481">
        <v>0.47638888888888892</v>
      </c>
    </row>
    <row r="1817" spans="1:2" hidden="1" x14ac:dyDescent="0.25">
      <c r="A1817" s="476" t="s">
        <v>3210</v>
      </c>
      <c r="B1817" s="481">
        <v>0.47638888888888892</v>
      </c>
    </row>
    <row r="1818" spans="1:2" hidden="1" x14ac:dyDescent="0.25">
      <c r="A1818" s="476" t="s">
        <v>3211</v>
      </c>
      <c r="B1818" s="481">
        <v>0.47638888888888892</v>
      </c>
    </row>
    <row r="1819" spans="1:2" hidden="1" x14ac:dyDescent="0.25">
      <c r="A1819" s="476" t="s">
        <v>3212</v>
      </c>
      <c r="B1819" s="481">
        <v>0.47638888888888892</v>
      </c>
    </row>
    <row r="1820" spans="1:2" hidden="1" x14ac:dyDescent="0.25">
      <c r="A1820" s="476" t="s">
        <v>3213</v>
      </c>
      <c r="B1820" s="481">
        <v>0.47638888888888892</v>
      </c>
    </row>
    <row r="1821" spans="1:2" hidden="1" x14ac:dyDescent="0.25">
      <c r="A1821" s="476" t="s">
        <v>3214</v>
      </c>
      <c r="B1821" s="481">
        <v>0.47638888888888892</v>
      </c>
    </row>
    <row r="1822" spans="1:2" hidden="1" x14ac:dyDescent="0.25">
      <c r="A1822" s="476" t="s">
        <v>3215</v>
      </c>
      <c r="B1822" s="481">
        <v>0.47638888888888892</v>
      </c>
    </row>
    <row r="1823" spans="1:2" hidden="1" x14ac:dyDescent="0.25">
      <c r="A1823" s="476" t="s">
        <v>3216</v>
      </c>
      <c r="B1823" s="481">
        <v>0.47638888888888892</v>
      </c>
    </row>
    <row r="1824" spans="1:2" hidden="1" x14ac:dyDescent="0.25">
      <c r="A1824" s="476" t="s">
        <v>3217</v>
      </c>
      <c r="B1824" s="481">
        <v>0.47638888888888892</v>
      </c>
    </row>
    <row r="1825" spans="1:2" hidden="1" x14ac:dyDescent="0.25">
      <c r="A1825" s="476" t="s">
        <v>3218</v>
      </c>
      <c r="B1825" s="481">
        <v>0.47638888888888892</v>
      </c>
    </row>
    <row r="1826" spans="1:2" hidden="1" x14ac:dyDescent="0.25">
      <c r="A1826" s="476" t="s">
        <v>3219</v>
      </c>
      <c r="B1826" s="481">
        <v>0.47638888888888892</v>
      </c>
    </row>
    <row r="1827" spans="1:2" hidden="1" x14ac:dyDescent="0.25">
      <c r="A1827" s="476" t="s">
        <v>3220</v>
      </c>
      <c r="B1827" s="481">
        <v>0.47638888888888892</v>
      </c>
    </row>
    <row r="1828" spans="1:2" hidden="1" x14ac:dyDescent="0.25">
      <c r="A1828" s="476" t="s">
        <v>3221</v>
      </c>
      <c r="B1828" s="481">
        <v>0.47638888888888892</v>
      </c>
    </row>
    <row r="1829" spans="1:2" hidden="1" x14ac:dyDescent="0.25">
      <c r="A1829" s="476" t="s">
        <v>3222</v>
      </c>
      <c r="B1829" s="481">
        <v>0.47638888888888892</v>
      </c>
    </row>
    <row r="1830" spans="1:2" hidden="1" x14ac:dyDescent="0.25">
      <c r="A1830" s="476" t="s">
        <v>3223</v>
      </c>
      <c r="B1830" s="481">
        <v>0.47638888888888892</v>
      </c>
    </row>
    <row r="1831" spans="1:2" hidden="1" x14ac:dyDescent="0.25">
      <c r="A1831" s="476" t="s">
        <v>3224</v>
      </c>
      <c r="B1831" s="481">
        <v>0.47638888888888892</v>
      </c>
    </row>
    <row r="1832" spans="1:2" hidden="1" x14ac:dyDescent="0.25">
      <c r="A1832" s="476" t="s">
        <v>3225</v>
      </c>
      <c r="B1832" s="481">
        <v>0.47638888888888892</v>
      </c>
    </row>
    <row r="1833" spans="1:2" hidden="1" x14ac:dyDescent="0.25">
      <c r="A1833" s="476" t="s">
        <v>3226</v>
      </c>
      <c r="B1833" s="481">
        <v>0.47638888888888892</v>
      </c>
    </row>
    <row r="1834" spans="1:2" hidden="1" x14ac:dyDescent="0.25">
      <c r="A1834" s="476" t="s">
        <v>3227</v>
      </c>
      <c r="B1834" s="481">
        <v>0.47638888888888892</v>
      </c>
    </row>
    <row r="1835" spans="1:2" hidden="1" x14ac:dyDescent="0.25">
      <c r="A1835" s="476" t="s">
        <v>3228</v>
      </c>
      <c r="B1835" s="481">
        <v>0.47638888888888892</v>
      </c>
    </row>
    <row r="1836" spans="1:2" hidden="1" x14ac:dyDescent="0.25">
      <c r="A1836" s="476" t="s">
        <v>3229</v>
      </c>
      <c r="B1836" s="481">
        <v>0.47638888888888892</v>
      </c>
    </row>
    <row r="1837" spans="1:2" hidden="1" x14ac:dyDescent="0.25">
      <c r="A1837" s="476" t="s">
        <v>3230</v>
      </c>
      <c r="B1837" s="481">
        <v>0.47638888888888892</v>
      </c>
    </row>
    <row r="1838" spans="1:2" hidden="1" x14ac:dyDescent="0.25">
      <c r="A1838" s="476" t="s">
        <v>3231</v>
      </c>
      <c r="B1838" s="481">
        <v>0.47638888888888892</v>
      </c>
    </row>
    <row r="1839" spans="1:2" hidden="1" x14ac:dyDescent="0.25">
      <c r="A1839" s="476" t="s">
        <v>3232</v>
      </c>
      <c r="B1839" s="481">
        <v>0.47638888888888892</v>
      </c>
    </row>
    <row r="1840" spans="1:2" hidden="1" x14ac:dyDescent="0.25">
      <c r="A1840" s="476" t="s">
        <v>3233</v>
      </c>
      <c r="B1840" s="481">
        <v>0.47638888888888892</v>
      </c>
    </row>
    <row r="1841" spans="1:2" hidden="1" x14ac:dyDescent="0.25">
      <c r="A1841" s="476" t="s">
        <v>3234</v>
      </c>
      <c r="B1841" s="481">
        <v>0.47638888888888892</v>
      </c>
    </row>
    <row r="1842" spans="1:2" hidden="1" x14ac:dyDescent="0.25">
      <c r="A1842" s="476" t="s">
        <v>3235</v>
      </c>
      <c r="B1842" s="481">
        <v>0.47638888888888892</v>
      </c>
    </row>
    <row r="1843" spans="1:2" hidden="1" x14ac:dyDescent="0.25">
      <c r="A1843" s="476" t="s">
        <v>3236</v>
      </c>
      <c r="B1843" s="481">
        <v>0.47638888888888892</v>
      </c>
    </row>
    <row r="1844" spans="1:2" hidden="1" x14ac:dyDescent="0.25">
      <c r="A1844" s="476" t="s">
        <v>3237</v>
      </c>
      <c r="B1844" s="481">
        <v>0.4770833333333333</v>
      </c>
    </row>
    <row r="1845" spans="1:2" hidden="1" x14ac:dyDescent="0.25">
      <c r="A1845" s="476" t="s">
        <v>3238</v>
      </c>
      <c r="B1845" s="481">
        <v>0.47638888888888892</v>
      </c>
    </row>
    <row r="1846" spans="1:2" hidden="1" x14ac:dyDescent="0.25">
      <c r="A1846" s="476" t="s">
        <v>3239</v>
      </c>
      <c r="B1846" s="481">
        <v>0.47638888888888892</v>
      </c>
    </row>
    <row r="1847" spans="1:2" hidden="1" x14ac:dyDescent="0.25">
      <c r="A1847" s="476" t="s">
        <v>3240</v>
      </c>
      <c r="B1847" s="481">
        <v>0.47638888888888892</v>
      </c>
    </row>
    <row r="1848" spans="1:2" hidden="1" x14ac:dyDescent="0.25">
      <c r="A1848" s="476" t="s">
        <v>3241</v>
      </c>
      <c r="B1848" s="481">
        <v>0.47638888888888892</v>
      </c>
    </row>
    <row r="1849" spans="1:2" hidden="1" x14ac:dyDescent="0.25">
      <c r="A1849" s="476" t="s">
        <v>3242</v>
      </c>
      <c r="B1849" s="481">
        <v>0.47638888888888892</v>
      </c>
    </row>
    <row r="1850" spans="1:2" hidden="1" x14ac:dyDescent="0.25">
      <c r="A1850" s="476" t="s">
        <v>3243</v>
      </c>
      <c r="B1850" s="481">
        <v>0.47638888888888892</v>
      </c>
    </row>
    <row r="1851" spans="1:2" hidden="1" x14ac:dyDescent="0.25">
      <c r="A1851" s="476" t="s">
        <v>3244</v>
      </c>
      <c r="B1851" s="481">
        <v>0.47638888888888892</v>
      </c>
    </row>
    <row r="1852" spans="1:2" hidden="1" x14ac:dyDescent="0.25">
      <c r="A1852" s="476" t="s">
        <v>3245</v>
      </c>
      <c r="B1852" s="481">
        <v>0.47638888888888892</v>
      </c>
    </row>
    <row r="1853" spans="1:2" hidden="1" x14ac:dyDescent="0.25">
      <c r="A1853" s="476" t="s">
        <v>3246</v>
      </c>
      <c r="B1853" s="481">
        <v>0.47638888888888892</v>
      </c>
    </row>
    <row r="1854" spans="1:2" hidden="1" x14ac:dyDescent="0.25">
      <c r="A1854" s="476" t="s">
        <v>3247</v>
      </c>
      <c r="B1854" s="481">
        <v>0.47638888888888892</v>
      </c>
    </row>
    <row r="1855" spans="1:2" hidden="1" x14ac:dyDescent="0.25">
      <c r="A1855" s="476" t="s">
        <v>3248</v>
      </c>
      <c r="B1855" s="481">
        <v>0.47569444444444442</v>
      </c>
    </row>
    <row r="1856" spans="1:2" hidden="1" x14ac:dyDescent="0.25">
      <c r="A1856" s="476" t="s">
        <v>3249</v>
      </c>
      <c r="B1856" s="481">
        <v>0.47638888888888892</v>
      </c>
    </row>
    <row r="1857" spans="1:2" hidden="1" x14ac:dyDescent="0.25">
      <c r="A1857" s="476" t="s">
        <v>3250</v>
      </c>
      <c r="B1857" s="481">
        <v>0.47638888888888892</v>
      </c>
    </row>
    <row r="1858" spans="1:2" hidden="1" x14ac:dyDescent="0.25">
      <c r="A1858" s="476" t="s">
        <v>3251</v>
      </c>
      <c r="B1858" s="481">
        <v>0.47638888888888892</v>
      </c>
    </row>
    <row r="1859" spans="1:2" hidden="1" x14ac:dyDescent="0.25">
      <c r="A1859" s="476" t="s">
        <v>3252</v>
      </c>
      <c r="B1859" s="481">
        <v>0.47638888888888892</v>
      </c>
    </row>
    <row r="1860" spans="1:2" hidden="1" x14ac:dyDescent="0.25">
      <c r="A1860" s="476" t="s">
        <v>3253</v>
      </c>
      <c r="B1860" s="481">
        <v>0.47638888888888892</v>
      </c>
    </row>
    <row r="1861" spans="1:2" hidden="1" x14ac:dyDescent="0.25">
      <c r="A1861" s="476" t="s">
        <v>3254</v>
      </c>
      <c r="B1861" s="481">
        <v>0.47638888888888892</v>
      </c>
    </row>
    <row r="1862" spans="1:2" hidden="1" x14ac:dyDescent="0.25">
      <c r="A1862" s="476" t="s">
        <v>3255</v>
      </c>
      <c r="B1862" s="481">
        <v>0.47638888888888892</v>
      </c>
    </row>
    <row r="1863" spans="1:2" hidden="1" x14ac:dyDescent="0.25">
      <c r="A1863" s="476" t="s">
        <v>3256</v>
      </c>
      <c r="B1863" s="481">
        <v>0.47569444444444442</v>
      </c>
    </row>
    <row r="1864" spans="1:2" hidden="1" x14ac:dyDescent="0.25">
      <c r="A1864" s="476" t="s">
        <v>3257</v>
      </c>
      <c r="B1864" s="481">
        <v>0.47638888888888892</v>
      </c>
    </row>
    <row r="1865" spans="1:2" hidden="1" x14ac:dyDescent="0.25">
      <c r="A1865" s="476" t="s">
        <v>3258</v>
      </c>
      <c r="B1865" s="481">
        <v>0.47638888888888892</v>
      </c>
    </row>
    <row r="1866" spans="1:2" hidden="1" x14ac:dyDescent="0.25">
      <c r="A1866" s="476" t="s">
        <v>3259</v>
      </c>
      <c r="B1866" s="481">
        <v>0.47638888888888892</v>
      </c>
    </row>
    <row r="1867" spans="1:2" hidden="1" x14ac:dyDescent="0.25">
      <c r="A1867" s="476" t="s">
        <v>3260</v>
      </c>
      <c r="B1867" s="481">
        <v>0.47638888888888892</v>
      </c>
    </row>
    <row r="1868" spans="1:2" hidden="1" x14ac:dyDescent="0.25">
      <c r="A1868" s="476" t="s">
        <v>3261</v>
      </c>
      <c r="B1868" s="481">
        <v>0.47638888888888892</v>
      </c>
    </row>
    <row r="1869" spans="1:2" hidden="1" x14ac:dyDescent="0.25">
      <c r="A1869" s="476" t="s">
        <v>3262</v>
      </c>
      <c r="B1869" s="481">
        <v>0.47638888888888892</v>
      </c>
    </row>
    <row r="1870" spans="1:2" hidden="1" x14ac:dyDescent="0.25">
      <c r="A1870" s="476" t="s">
        <v>3263</v>
      </c>
      <c r="B1870" s="481">
        <v>0.47638888888888892</v>
      </c>
    </row>
    <row r="1871" spans="1:2" hidden="1" x14ac:dyDescent="0.25">
      <c r="A1871" s="476" t="s">
        <v>3264</v>
      </c>
      <c r="B1871" s="481">
        <v>0.47638888888888892</v>
      </c>
    </row>
    <row r="1872" spans="1:2" hidden="1" x14ac:dyDescent="0.25">
      <c r="A1872" s="476" t="s">
        <v>3265</v>
      </c>
      <c r="B1872" s="481">
        <v>0.47638888888888892</v>
      </c>
    </row>
    <row r="1873" spans="1:2" hidden="1" x14ac:dyDescent="0.25">
      <c r="A1873" s="476" t="s">
        <v>3266</v>
      </c>
      <c r="B1873" s="481">
        <v>0.4770833333333333</v>
      </c>
    </row>
    <row r="1874" spans="1:2" hidden="1" x14ac:dyDescent="0.25">
      <c r="A1874" s="476" t="s">
        <v>3267</v>
      </c>
      <c r="B1874" s="481">
        <v>0.47638888888888892</v>
      </c>
    </row>
    <row r="1875" spans="1:2" hidden="1" x14ac:dyDescent="0.25">
      <c r="A1875" s="476" t="s">
        <v>3268</v>
      </c>
      <c r="B1875" s="481">
        <v>0.47638888888888892</v>
      </c>
    </row>
    <row r="1876" spans="1:2" hidden="1" x14ac:dyDescent="0.25">
      <c r="A1876" s="476" t="s">
        <v>3269</v>
      </c>
      <c r="B1876" s="481">
        <v>0.47638888888888892</v>
      </c>
    </row>
    <row r="1877" spans="1:2" hidden="1" x14ac:dyDescent="0.25">
      <c r="A1877" s="476" t="s">
        <v>3270</v>
      </c>
      <c r="B1877" s="481">
        <v>0.47638888888888892</v>
      </c>
    </row>
    <row r="1878" spans="1:2" hidden="1" x14ac:dyDescent="0.25">
      <c r="A1878" s="476" t="s">
        <v>3271</v>
      </c>
      <c r="B1878" s="481">
        <v>0.47638888888888892</v>
      </c>
    </row>
    <row r="1879" spans="1:2" hidden="1" x14ac:dyDescent="0.25">
      <c r="A1879" s="476" t="s">
        <v>3272</v>
      </c>
      <c r="B1879" s="481">
        <v>0.47638888888888892</v>
      </c>
    </row>
    <row r="1880" spans="1:2" hidden="1" x14ac:dyDescent="0.25">
      <c r="A1880" s="476" t="s">
        <v>3273</v>
      </c>
      <c r="B1880" s="481">
        <v>0.47638888888888892</v>
      </c>
    </row>
    <row r="1881" spans="1:2" hidden="1" x14ac:dyDescent="0.25">
      <c r="A1881" s="476" t="s">
        <v>3274</v>
      </c>
      <c r="B1881" s="481">
        <v>0.47638888888888892</v>
      </c>
    </row>
    <row r="1882" spans="1:2" hidden="1" x14ac:dyDescent="0.25">
      <c r="A1882" s="476" t="s">
        <v>3275</v>
      </c>
      <c r="B1882" s="481">
        <v>0.47638888888888892</v>
      </c>
    </row>
    <row r="1883" spans="1:2" hidden="1" x14ac:dyDescent="0.25">
      <c r="A1883" s="476" t="s">
        <v>3276</v>
      </c>
      <c r="B1883" s="481">
        <v>0.47638888888888892</v>
      </c>
    </row>
    <row r="1884" spans="1:2" hidden="1" x14ac:dyDescent="0.25">
      <c r="A1884" s="476" t="s">
        <v>3277</v>
      </c>
      <c r="B1884" s="481">
        <v>0.47638888888888892</v>
      </c>
    </row>
    <row r="1885" spans="1:2" hidden="1" x14ac:dyDescent="0.25">
      <c r="A1885" s="476" t="s">
        <v>3278</v>
      </c>
      <c r="B1885" s="481">
        <v>0.47638888888888892</v>
      </c>
    </row>
    <row r="1886" spans="1:2" hidden="1" x14ac:dyDescent="0.25">
      <c r="A1886" s="476" t="s">
        <v>3279</v>
      </c>
      <c r="B1886" s="481">
        <v>0.4770833333333333</v>
      </c>
    </row>
    <row r="1887" spans="1:2" hidden="1" x14ac:dyDescent="0.25">
      <c r="A1887" s="476" t="s">
        <v>3280</v>
      </c>
      <c r="B1887" s="481">
        <v>0.4770833333333333</v>
      </c>
    </row>
    <row r="1888" spans="1:2" hidden="1" x14ac:dyDescent="0.25">
      <c r="A1888" s="476" t="s">
        <v>3281</v>
      </c>
      <c r="B1888" s="481">
        <v>0.47638888888888892</v>
      </c>
    </row>
    <row r="1889" spans="1:2" hidden="1" x14ac:dyDescent="0.25">
      <c r="A1889" s="476" t="s">
        <v>3282</v>
      </c>
      <c r="B1889" s="481">
        <v>0.47638888888888892</v>
      </c>
    </row>
    <row r="1890" spans="1:2" hidden="1" x14ac:dyDescent="0.25">
      <c r="A1890" s="476" t="s">
        <v>3283</v>
      </c>
      <c r="B1890" s="481">
        <v>0.47638888888888892</v>
      </c>
    </row>
    <row r="1891" spans="1:2" hidden="1" x14ac:dyDescent="0.25">
      <c r="A1891" s="476" t="s">
        <v>3284</v>
      </c>
      <c r="B1891" s="481">
        <v>0.47638888888888892</v>
      </c>
    </row>
    <row r="1892" spans="1:2" hidden="1" x14ac:dyDescent="0.25">
      <c r="A1892" s="476" t="s">
        <v>3285</v>
      </c>
      <c r="B1892" s="481">
        <v>0.47638888888888892</v>
      </c>
    </row>
    <row r="1893" spans="1:2" hidden="1" x14ac:dyDescent="0.25">
      <c r="A1893" s="476" t="s">
        <v>3286</v>
      </c>
      <c r="B1893" s="481">
        <v>0.47638888888888892</v>
      </c>
    </row>
    <row r="1894" spans="1:2" hidden="1" x14ac:dyDescent="0.25">
      <c r="A1894" s="476" t="s">
        <v>3287</v>
      </c>
      <c r="B1894" s="481">
        <v>0.47638888888888892</v>
      </c>
    </row>
    <row r="1895" spans="1:2" hidden="1" x14ac:dyDescent="0.25">
      <c r="A1895" s="476" t="s">
        <v>3288</v>
      </c>
      <c r="B1895" s="481">
        <v>0.4770833333333333</v>
      </c>
    </row>
    <row r="1896" spans="1:2" hidden="1" x14ac:dyDescent="0.25">
      <c r="A1896" s="476" t="s">
        <v>3289</v>
      </c>
      <c r="B1896" s="481">
        <v>0.47638888888888892</v>
      </c>
    </row>
    <row r="1897" spans="1:2" hidden="1" x14ac:dyDescent="0.25">
      <c r="A1897" s="476" t="s">
        <v>3290</v>
      </c>
      <c r="B1897" s="481">
        <v>0.47638888888888892</v>
      </c>
    </row>
    <row r="1898" spans="1:2" hidden="1" x14ac:dyDescent="0.25">
      <c r="A1898" s="476" t="s">
        <v>3291</v>
      </c>
      <c r="B1898" s="481">
        <v>0.4770833333333333</v>
      </c>
    </row>
    <row r="1899" spans="1:2" hidden="1" x14ac:dyDescent="0.25">
      <c r="A1899" s="476" t="s">
        <v>3292</v>
      </c>
      <c r="B1899" s="481">
        <v>0.47638888888888892</v>
      </c>
    </row>
    <row r="1900" spans="1:2" hidden="1" x14ac:dyDescent="0.25">
      <c r="A1900" s="476" t="s">
        <v>3293</v>
      </c>
      <c r="B1900" s="481">
        <v>0.47638888888888892</v>
      </c>
    </row>
    <row r="1901" spans="1:2" hidden="1" x14ac:dyDescent="0.25">
      <c r="A1901" s="476" t="s">
        <v>3294</v>
      </c>
      <c r="B1901" s="481">
        <v>0.47638888888888892</v>
      </c>
    </row>
    <row r="1902" spans="1:2" hidden="1" x14ac:dyDescent="0.25">
      <c r="A1902" s="476" t="s">
        <v>3295</v>
      </c>
      <c r="B1902" s="481">
        <v>0.47638888888888892</v>
      </c>
    </row>
    <row r="1903" spans="1:2" hidden="1" x14ac:dyDescent="0.25">
      <c r="A1903" s="476" t="s">
        <v>3296</v>
      </c>
      <c r="B1903" s="481">
        <v>0.47638888888888892</v>
      </c>
    </row>
    <row r="1904" spans="1:2" hidden="1" x14ac:dyDescent="0.25">
      <c r="A1904" s="476" t="s">
        <v>3297</v>
      </c>
      <c r="B1904" s="481">
        <v>0.47638888888888892</v>
      </c>
    </row>
    <row r="1905" spans="1:2" hidden="1" x14ac:dyDescent="0.25">
      <c r="A1905" s="476" t="s">
        <v>3298</v>
      </c>
      <c r="B1905" s="481">
        <v>0.4770833333333333</v>
      </c>
    </row>
    <row r="1906" spans="1:2" hidden="1" x14ac:dyDescent="0.25">
      <c r="A1906" s="476" t="s">
        <v>3299</v>
      </c>
      <c r="B1906" s="481">
        <v>0.47638888888888892</v>
      </c>
    </row>
    <row r="1907" spans="1:2" hidden="1" x14ac:dyDescent="0.25">
      <c r="A1907" s="476" t="s">
        <v>3300</v>
      </c>
      <c r="B1907" s="481">
        <v>0.47638888888888892</v>
      </c>
    </row>
    <row r="1908" spans="1:2" hidden="1" x14ac:dyDescent="0.25">
      <c r="A1908" s="476" t="s">
        <v>3301</v>
      </c>
      <c r="B1908" s="481">
        <v>0.47638888888888892</v>
      </c>
    </row>
    <row r="1909" spans="1:2" hidden="1" x14ac:dyDescent="0.25">
      <c r="A1909" s="476" t="s">
        <v>3302</v>
      </c>
      <c r="B1909" s="481">
        <v>0.4770833333333333</v>
      </c>
    </row>
    <row r="1910" spans="1:2" hidden="1" x14ac:dyDescent="0.25">
      <c r="A1910" s="476" t="s">
        <v>3303</v>
      </c>
      <c r="B1910" s="481">
        <v>0.47638888888888892</v>
      </c>
    </row>
    <row r="1911" spans="1:2" hidden="1" x14ac:dyDescent="0.25">
      <c r="A1911" s="476" t="s">
        <v>3304</v>
      </c>
      <c r="B1911" s="481">
        <v>0.47638888888888892</v>
      </c>
    </row>
    <row r="1912" spans="1:2" hidden="1" x14ac:dyDescent="0.25">
      <c r="A1912" s="476" t="s">
        <v>3305</v>
      </c>
      <c r="B1912" s="481">
        <v>0.47638888888888892</v>
      </c>
    </row>
    <row r="1913" spans="1:2" hidden="1" x14ac:dyDescent="0.25">
      <c r="A1913" s="476" t="s">
        <v>3306</v>
      </c>
      <c r="B1913" s="481">
        <v>0.47638888888888892</v>
      </c>
    </row>
    <row r="1914" spans="1:2" hidden="1" x14ac:dyDescent="0.25">
      <c r="A1914" s="476" t="s">
        <v>3307</v>
      </c>
      <c r="B1914" s="481">
        <v>0.47638888888888892</v>
      </c>
    </row>
    <row r="1915" spans="1:2" hidden="1" x14ac:dyDescent="0.25">
      <c r="A1915" s="476" t="s">
        <v>3308</v>
      </c>
      <c r="B1915" s="481">
        <v>0.47569444444444442</v>
      </c>
    </row>
    <row r="1916" spans="1:2" hidden="1" x14ac:dyDescent="0.25">
      <c r="A1916" s="476" t="s">
        <v>3309</v>
      </c>
      <c r="B1916" s="481">
        <v>0.47638888888888892</v>
      </c>
    </row>
    <row r="1917" spans="1:2" hidden="1" x14ac:dyDescent="0.25">
      <c r="A1917" s="476" t="s">
        <v>3310</v>
      </c>
      <c r="B1917" s="481">
        <v>0.47638888888888892</v>
      </c>
    </row>
    <row r="1918" spans="1:2" hidden="1" x14ac:dyDescent="0.25">
      <c r="A1918" s="476" t="s">
        <v>3311</v>
      </c>
      <c r="B1918" s="481">
        <v>0.47638888888888892</v>
      </c>
    </row>
    <row r="1919" spans="1:2" hidden="1" x14ac:dyDescent="0.25">
      <c r="A1919" s="476" t="s">
        <v>3312</v>
      </c>
      <c r="B1919" s="481">
        <v>0.47638888888888892</v>
      </c>
    </row>
    <row r="1920" spans="1:2" hidden="1" x14ac:dyDescent="0.25">
      <c r="A1920" s="476" t="s">
        <v>3313</v>
      </c>
      <c r="B1920" s="481">
        <v>0.47638888888888892</v>
      </c>
    </row>
    <row r="1921" spans="1:2" hidden="1" x14ac:dyDescent="0.25">
      <c r="A1921" s="476" t="s">
        <v>3314</v>
      </c>
      <c r="B1921" s="481">
        <v>0.47638888888888892</v>
      </c>
    </row>
    <row r="1922" spans="1:2" hidden="1" x14ac:dyDescent="0.25">
      <c r="A1922" s="476" t="s">
        <v>3315</v>
      </c>
      <c r="B1922" s="481">
        <v>0.47638888888888892</v>
      </c>
    </row>
    <row r="1923" spans="1:2" hidden="1" x14ac:dyDescent="0.25">
      <c r="A1923" s="476" t="s">
        <v>3316</v>
      </c>
      <c r="B1923" s="481">
        <v>0.47638888888888892</v>
      </c>
    </row>
    <row r="1924" spans="1:2" hidden="1" x14ac:dyDescent="0.25">
      <c r="A1924" s="476" t="s">
        <v>3317</v>
      </c>
      <c r="B1924" s="481">
        <v>0.47638888888888892</v>
      </c>
    </row>
    <row r="1925" spans="1:2" hidden="1" x14ac:dyDescent="0.25">
      <c r="A1925" s="476" t="s">
        <v>3318</v>
      </c>
      <c r="B1925" s="481">
        <v>0.47638888888888892</v>
      </c>
    </row>
    <row r="1926" spans="1:2" hidden="1" x14ac:dyDescent="0.25">
      <c r="A1926" s="476" t="s">
        <v>3319</v>
      </c>
      <c r="B1926" s="481">
        <v>0.47638888888888892</v>
      </c>
    </row>
    <row r="1927" spans="1:2" hidden="1" x14ac:dyDescent="0.25">
      <c r="A1927" s="476" t="s">
        <v>3320</v>
      </c>
      <c r="B1927" s="481">
        <v>0.4770833333333333</v>
      </c>
    </row>
    <row r="1928" spans="1:2" hidden="1" x14ac:dyDescent="0.25">
      <c r="A1928" s="476" t="s">
        <v>3321</v>
      </c>
      <c r="B1928" s="481">
        <v>0.47638888888888892</v>
      </c>
    </row>
    <row r="1929" spans="1:2" hidden="1" x14ac:dyDescent="0.25">
      <c r="A1929" s="476" t="s">
        <v>3322</v>
      </c>
      <c r="B1929" s="481">
        <v>0.47638888888888892</v>
      </c>
    </row>
    <row r="1930" spans="1:2" hidden="1" x14ac:dyDescent="0.25">
      <c r="A1930" s="476" t="s">
        <v>3323</v>
      </c>
      <c r="B1930" s="481">
        <v>0.47638888888888892</v>
      </c>
    </row>
    <row r="1931" spans="1:2" hidden="1" x14ac:dyDescent="0.25">
      <c r="A1931" s="476" t="s">
        <v>3324</v>
      </c>
      <c r="B1931" s="481">
        <v>0.4770833333333333</v>
      </c>
    </row>
    <row r="1932" spans="1:2" hidden="1" x14ac:dyDescent="0.25">
      <c r="A1932" s="476" t="s">
        <v>3325</v>
      </c>
      <c r="B1932" s="481">
        <v>0.47638888888888892</v>
      </c>
    </row>
    <row r="1933" spans="1:2" hidden="1" x14ac:dyDescent="0.25">
      <c r="A1933" s="476" t="s">
        <v>3326</v>
      </c>
      <c r="B1933" s="481">
        <v>0.47638888888888892</v>
      </c>
    </row>
    <row r="1934" spans="1:2" hidden="1" x14ac:dyDescent="0.25">
      <c r="A1934" s="476" t="s">
        <v>3327</v>
      </c>
      <c r="B1934" s="481">
        <v>0.47638888888888892</v>
      </c>
    </row>
    <row r="1935" spans="1:2" hidden="1" x14ac:dyDescent="0.25">
      <c r="A1935" s="476" t="s">
        <v>3328</v>
      </c>
      <c r="B1935" s="481">
        <v>0.4770833333333333</v>
      </c>
    </row>
    <row r="1936" spans="1:2" hidden="1" x14ac:dyDescent="0.25">
      <c r="A1936" s="476" t="s">
        <v>3329</v>
      </c>
      <c r="B1936" s="481">
        <v>0.47638888888888892</v>
      </c>
    </row>
    <row r="1937" spans="1:2" hidden="1" x14ac:dyDescent="0.25">
      <c r="A1937" s="476" t="s">
        <v>3330</v>
      </c>
      <c r="B1937" s="481">
        <v>0.47638888888888892</v>
      </c>
    </row>
    <row r="1938" spans="1:2" hidden="1" x14ac:dyDescent="0.25">
      <c r="A1938" s="476" t="s">
        <v>3331</v>
      </c>
      <c r="B1938" s="481">
        <v>0.4770833333333333</v>
      </c>
    </row>
    <row r="1939" spans="1:2" hidden="1" x14ac:dyDescent="0.25">
      <c r="A1939" s="476" t="s">
        <v>3332</v>
      </c>
      <c r="B1939" s="481">
        <v>0.47638888888888892</v>
      </c>
    </row>
    <row r="1940" spans="1:2" hidden="1" x14ac:dyDescent="0.25">
      <c r="A1940" s="476" t="s">
        <v>3333</v>
      </c>
      <c r="B1940" s="481">
        <v>0.47638888888888892</v>
      </c>
    </row>
    <row r="1941" spans="1:2" hidden="1" x14ac:dyDescent="0.25">
      <c r="A1941" s="476" t="s">
        <v>3334</v>
      </c>
      <c r="B1941" s="481">
        <v>0.47638888888888892</v>
      </c>
    </row>
    <row r="1942" spans="1:2" hidden="1" x14ac:dyDescent="0.25">
      <c r="A1942" s="476" t="s">
        <v>3335</v>
      </c>
      <c r="B1942" s="481">
        <v>0.47638888888888892</v>
      </c>
    </row>
    <row r="1943" spans="1:2" hidden="1" x14ac:dyDescent="0.25">
      <c r="A1943" s="476" t="s">
        <v>3336</v>
      </c>
      <c r="B1943" s="481">
        <v>0.47638888888888892</v>
      </c>
    </row>
    <row r="1944" spans="1:2" hidden="1" x14ac:dyDescent="0.25">
      <c r="A1944" s="476" t="s">
        <v>3337</v>
      </c>
      <c r="B1944" s="481">
        <v>0.4770833333333333</v>
      </c>
    </row>
    <row r="1945" spans="1:2" hidden="1" x14ac:dyDescent="0.25">
      <c r="A1945" s="476" t="s">
        <v>3338</v>
      </c>
      <c r="B1945" s="481">
        <v>0.47638888888888892</v>
      </c>
    </row>
    <row r="1946" spans="1:2" hidden="1" x14ac:dyDescent="0.25">
      <c r="A1946" s="476" t="s">
        <v>3339</v>
      </c>
      <c r="B1946" s="481">
        <v>0.4770833333333333</v>
      </c>
    </row>
    <row r="1947" spans="1:2" hidden="1" x14ac:dyDescent="0.25">
      <c r="A1947" s="476" t="s">
        <v>3340</v>
      </c>
      <c r="B1947" s="481">
        <v>0.47638888888888892</v>
      </c>
    </row>
    <row r="1948" spans="1:2" hidden="1" x14ac:dyDescent="0.25">
      <c r="A1948" s="476" t="s">
        <v>3341</v>
      </c>
      <c r="B1948" s="481">
        <v>0.47638888888888892</v>
      </c>
    </row>
    <row r="1949" spans="1:2" hidden="1" x14ac:dyDescent="0.25">
      <c r="A1949" s="476" t="s">
        <v>3342</v>
      </c>
      <c r="B1949" s="481">
        <v>0.47638888888888892</v>
      </c>
    </row>
    <row r="1950" spans="1:2" hidden="1" x14ac:dyDescent="0.25">
      <c r="A1950" s="476" t="s">
        <v>3343</v>
      </c>
      <c r="B1950" s="481">
        <v>0.47638888888888892</v>
      </c>
    </row>
    <row r="1951" spans="1:2" hidden="1" x14ac:dyDescent="0.25">
      <c r="A1951" s="476" t="s">
        <v>3344</v>
      </c>
      <c r="B1951" s="481">
        <v>0.4770833333333333</v>
      </c>
    </row>
    <row r="1952" spans="1:2" hidden="1" x14ac:dyDescent="0.25">
      <c r="A1952" s="476" t="s">
        <v>3345</v>
      </c>
      <c r="B1952" s="481">
        <v>0.4770833333333333</v>
      </c>
    </row>
    <row r="1953" spans="1:2" hidden="1" x14ac:dyDescent="0.25">
      <c r="A1953" s="476" t="s">
        <v>3346</v>
      </c>
      <c r="B1953" s="481">
        <v>0.47638888888888892</v>
      </c>
    </row>
    <row r="1954" spans="1:2" hidden="1" x14ac:dyDescent="0.25">
      <c r="A1954" s="476" t="s">
        <v>3347</v>
      </c>
      <c r="B1954" s="481">
        <v>0.4770833333333333</v>
      </c>
    </row>
    <row r="1955" spans="1:2" hidden="1" x14ac:dyDescent="0.25">
      <c r="A1955" s="476" t="s">
        <v>3348</v>
      </c>
      <c r="B1955" s="481">
        <v>0.47638888888888892</v>
      </c>
    </row>
    <row r="1956" spans="1:2" hidden="1" x14ac:dyDescent="0.25">
      <c r="A1956" s="476" t="s">
        <v>3349</v>
      </c>
      <c r="B1956" s="481">
        <v>0.4770833333333333</v>
      </c>
    </row>
    <row r="1957" spans="1:2" hidden="1" x14ac:dyDescent="0.25">
      <c r="A1957" s="476" t="s">
        <v>3350</v>
      </c>
      <c r="B1957" s="481">
        <v>0.4770833333333333</v>
      </c>
    </row>
    <row r="1958" spans="1:2" hidden="1" x14ac:dyDescent="0.25">
      <c r="A1958" s="476" t="s">
        <v>3351</v>
      </c>
      <c r="B1958" s="481">
        <v>0.47638888888888892</v>
      </c>
    </row>
    <row r="1959" spans="1:2" hidden="1" x14ac:dyDescent="0.25">
      <c r="A1959" s="476" t="s">
        <v>3352</v>
      </c>
      <c r="B1959" s="481">
        <v>0.47638888888888892</v>
      </c>
    </row>
    <row r="1960" spans="1:2" hidden="1" x14ac:dyDescent="0.25">
      <c r="A1960" s="476" t="s">
        <v>3353</v>
      </c>
      <c r="B1960" s="481">
        <v>0.47638888888888892</v>
      </c>
    </row>
    <row r="1961" spans="1:2" hidden="1" x14ac:dyDescent="0.25">
      <c r="A1961" s="476" t="s">
        <v>3354</v>
      </c>
      <c r="B1961" s="481">
        <v>0.47638888888888892</v>
      </c>
    </row>
    <row r="1962" spans="1:2" hidden="1" x14ac:dyDescent="0.25">
      <c r="A1962" s="476" t="s">
        <v>3355</v>
      </c>
      <c r="B1962" s="481">
        <v>0.47638888888888892</v>
      </c>
    </row>
    <row r="1963" spans="1:2" hidden="1" x14ac:dyDescent="0.25">
      <c r="A1963" s="476" t="s">
        <v>3356</v>
      </c>
      <c r="B1963" s="481">
        <v>0.47638888888888892</v>
      </c>
    </row>
    <row r="1964" spans="1:2" hidden="1" x14ac:dyDescent="0.25">
      <c r="A1964" s="476" t="s">
        <v>3357</v>
      </c>
      <c r="B1964" s="481">
        <v>0.47638888888888892</v>
      </c>
    </row>
    <row r="1965" spans="1:2" hidden="1" x14ac:dyDescent="0.25">
      <c r="A1965" s="476" t="s">
        <v>3358</v>
      </c>
      <c r="B1965" s="481">
        <v>0.47638888888888892</v>
      </c>
    </row>
    <row r="1966" spans="1:2" hidden="1" x14ac:dyDescent="0.25">
      <c r="A1966" s="476" t="s">
        <v>3359</v>
      </c>
      <c r="B1966" s="481">
        <v>0.47638888888888892</v>
      </c>
    </row>
    <row r="1967" spans="1:2" hidden="1" x14ac:dyDescent="0.25">
      <c r="A1967" s="476" t="s">
        <v>3360</v>
      </c>
      <c r="B1967" s="481">
        <v>0.4770833333333333</v>
      </c>
    </row>
    <row r="1968" spans="1:2" hidden="1" x14ac:dyDescent="0.25">
      <c r="A1968" s="476" t="s">
        <v>3361</v>
      </c>
      <c r="B1968" s="481">
        <v>0.47638888888888892</v>
      </c>
    </row>
    <row r="1969" spans="1:2" hidden="1" x14ac:dyDescent="0.25">
      <c r="A1969" s="476" t="s">
        <v>3362</v>
      </c>
      <c r="B1969" s="481">
        <v>0.47638888888888892</v>
      </c>
    </row>
    <row r="1970" spans="1:2" hidden="1" x14ac:dyDescent="0.25">
      <c r="A1970" s="476" t="s">
        <v>3363</v>
      </c>
      <c r="B1970" s="481">
        <v>0.47638888888888892</v>
      </c>
    </row>
    <row r="1971" spans="1:2" hidden="1" x14ac:dyDescent="0.25">
      <c r="A1971" s="476" t="s">
        <v>3364</v>
      </c>
      <c r="B1971" s="481">
        <v>0.47638888888888892</v>
      </c>
    </row>
    <row r="1972" spans="1:2" hidden="1" x14ac:dyDescent="0.25">
      <c r="A1972" s="476" t="s">
        <v>3365</v>
      </c>
      <c r="B1972" s="481">
        <v>0.47638888888888892</v>
      </c>
    </row>
    <row r="1973" spans="1:2" hidden="1" x14ac:dyDescent="0.25">
      <c r="A1973" s="476" t="s">
        <v>3366</v>
      </c>
      <c r="B1973" s="481">
        <v>0.47638888888888892</v>
      </c>
    </row>
    <row r="1974" spans="1:2" hidden="1" x14ac:dyDescent="0.25">
      <c r="A1974" s="476" t="s">
        <v>3367</v>
      </c>
      <c r="B1974" s="481">
        <v>0.47638888888888892</v>
      </c>
    </row>
    <row r="1975" spans="1:2" hidden="1" x14ac:dyDescent="0.25">
      <c r="A1975" s="476" t="s">
        <v>3368</v>
      </c>
      <c r="B1975" s="481">
        <v>0.47638888888888892</v>
      </c>
    </row>
    <row r="1976" spans="1:2" hidden="1" x14ac:dyDescent="0.25">
      <c r="A1976" s="476" t="s">
        <v>3369</v>
      </c>
      <c r="B1976" s="481">
        <v>0.47638888888888892</v>
      </c>
    </row>
    <row r="1977" spans="1:2" hidden="1" x14ac:dyDescent="0.25">
      <c r="A1977" s="476" t="s">
        <v>3370</v>
      </c>
      <c r="B1977" s="481">
        <v>0.47638888888888892</v>
      </c>
    </row>
    <row r="1978" spans="1:2" hidden="1" x14ac:dyDescent="0.25">
      <c r="A1978" s="476" t="s">
        <v>3371</v>
      </c>
      <c r="B1978" s="481">
        <v>0.47638888888888892</v>
      </c>
    </row>
    <row r="1979" spans="1:2" hidden="1" x14ac:dyDescent="0.25">
      <c r="A1979" s="476" t="s">
        <v>3372</v>
      </c>
      <c r="B1979" s="481">
        <v>0.4770833333333333</v>
      </c>
    </row>
    <row r="1980" spans="1:2" hidden="1" x14ac:dyDescent="0.25">
      <c r="A1980" s="476" t="s">
        <v>3373</v>
      </c>
      <c r="B1980" s="481">
        <v>0.47638888888888892</v>
      </c>
    </row>
    <row r="1981" spans="1:2" hidden="1" x14ac:dyDescent="0.25">
      <c r="A1981" s="476" t="s">
        <v>3374</v>
      </c>
      <c r="B1981" s="481">
        <v>0.47638888888888892</v>
      </c>
    </row>
    <row r="1982" spans="1:2" hidden="1" x14ac:dyDescent="0.25">
      <c r="A1982" s="476" t="s">
        <v>3375</v>
      </c>
      <c r="B1982" s="481">
        <v>0.4770833333333333</v>
      </c>
    </row>
    <row r="1983" spans="1:2" hidden="1" x14ac:dyDescent="0.25">
      <c r="A1983" s="476" t="s">
        <v>3376</v>
      </c>
      <c r="B1983" s="481">
        <v>0.47638888888888892</v>
      </c>
    </row>
    <row r="1984" spans="1:2" hidden="1" x14ac:dyDescent="0.25">
      <c r="A1984" s="476" t="s">
        <v>3377</v>
      </c>
      <c r="B1984" s="481">
        <v>0.47569444444444442</v>
      </c>
    </row>
    <row r="1985" spans="1:2" hidden="1" x14ac:dyDescent="0.25">
      <c r="A1985" s="476" t="s">
        <v>3378</v>
      </c>
      <c r="B1985" s="481">
        <v>0.47569444444444442</v>
      </c>
    </row>
    <row r="1986" spans="1:2" hidden="1" x14ac:dyDescent="0.25">
      <c r="A1986" s="476" t="s">
        <v>3379</v>
      </c>
      <c r="B1986" s="481">
        <v>0.4770833333333333</v>
      </c>
    </row>
    <row r="1987" spans="1:2" hidden="1" x14ac:dyDescent="0.25">
      <c r="A1987" s="476" t="s">
        <v>3380</v>
      </c>
      <c r="B1987" s="481">
        <v>0.47638888888888892</v>
      </c>
    </row>
    <row r="1988" spans="1:2" hidden="1" x14ac:dyDescent="0.25">
      <c r="A1988" s="476" t="s">
        <v>3381</v>
      </c>
      <c r="B1988" s="481">
        <v>0.47638888888888892</v>
      </c>
    </row>
    <row r="1989" spans="1:2" hidden="1" x14ac:dyDescent="0.25">
      <c r="A1989" s="476" t="s">
        <v>3382</v>
      </c>
      <c r="B1989" s="481">
        <v>0.47638888888888892</v>
      </c>
    </row>
    <row r="1990" spans="1:2" hidden="1" x14ac:dyDescent="0.25">
      <c r="A1990" s="476" t="s">
        <v>3383</v>
      </c>
      <c r="B1990" s="481">
        <v>0.4770833333333333</v>
      </c>
    </row>
    <row r="1991" spans="1:2" hidden="1" x14ac:dyDescent="0.25">
      <c r="A1991" s="476" t="s">
        <v>3384</v>
      </c>
      <c r="B1991" s="481">
        <v>0.47638888888888892</v>
      </c>
    </row>
    <row r="1992" spans="1:2" hidden="1" x14ac:dyDescent="0.25">
      <c r="A1992" s="476" t="s">
        <v>3385</v>
      </c>
      <c r="B1992" s="481">
        <v>0.47638888888888892</v>
      </c>
    </row>
    <row r="1993" spans="1:2" hidden="1" x14ac:dyDescent="0.25">
      <c r="A1993" s="476" t="s">
        <v>3386</v>
      </c>
      <c r="B1993" s="481">
        <v>0.47638888888888892</v>
      </c>
    </row>
    <row r="1994" spans="1:2" hidden="1" x14ac:dyDescent="0.25">
      <c r="A1994" s="476" t="s">
        <v>3387</v>
      </c>
      <c r="B1994" s="481">
        <v>0.47638888888888892</v>
      </c>
    </row>
    <row r="1995" spans="1:2" hidden="1" x14ac:dyDescent="0.25">
      <c r="A1995" s="476" t="s">
        <v>3388</v>
      </c>
      <c r="B1995" s="481">
        <v>0.4770833333333333</v>
      </c>
    </row>
    <row r="1996" spans="1:2" hidden="1" x14ac:dyDescent="0.25">
      <c r="A1996" s="476" t="s">
        <v>3389</v>
      </c>
      <c r="B1996" s="481">
        <v>0.47569444444444442</v>
      </c>
    </row>
    <row r="1997" spans="1:2" hidden="1" x14ac:dyDescent="0.25">
      <c r="A1997" s="476" t="s">
        <v>3390</v>
      </c>
      <c r="B1997" s="481">
        <v>0.4770833333333333</v>
      </c>
    </row>
    <row r="1998" spans="1:2" hidden="1" x14ac:dyDescent="0.25">
      <c r="A1998" s="476" t="s">
        <v>3391</v>
      </c>
      <c r="B1998" s="481">
        <v>0.47638888888888892</v>
      </c>
    </row>
    <row r="1999" spans="1:2" hidden="1" x14ac:dyDescent="0.25">
      <c r="A1999" s="476" t="s">
        <v>3392</v>
      </c>
      <c r="B1999" s="481">
        <v>0.47638888888888892</v>
      </c>
    </row>
    <row r="2000" spans="1:2" hidden="1" x14ac:dyDescent="0.25">
      <c r="A2000" s="476" t="s">
        <v>3393</v>
      </c>
      <c r="B2000" s="481">
        <v>0.47638888888888892</v>
      </c>
    </row>
    <row r="2001" spans="1:2" hidden="1" x14ac:dyDescent="0.25">
      <c r="A2001" s="476" t="s">
        <v>3394</v>
      </c>
      <c r="B2001" s="481">
        <v>0.47638888888888892</v>
      </c>
    </row>
    <row r="2002" spans="1:2" hidden="1" x14ac:dyDescent="0.25">
      <c r="A2002" s="476" t="s">
        <v>3395</v>
      </c>
      <c r="B2002" s="481">
        <v>0.47638888888888892</v>
      </c>
    </row>
    <row r="2003" spans="1:2" hidden="1" x14ac:dyDescent="0.25">
      <c r="A2003" s="476" t="s">
        <v>3396</v>
      </c>
      <c r="B2003" s="481">
        <v>0.47638888888888892</v>
      </c>
    </row>
    <row r="2004" spans="1:2" hidden="1" x14ac:dyDescent="0.25">
      <c r="A2004" s="476" t="s">
        <v>3397</v>
      </c>
      <c r="B2004" s="481">
        <v>0.47638888888888892</v>
      </c>
    </row>
    <row r="2005" spans="1:2" hidden="1" x14ac:dyDescent="0.25">
      <c r="A2005" s="476" t="s">
        <v>3398</v>
      </c>
      <c r="B2005" s="481">
        <v>0.47638888888888892</v>
      </c>
    </row>
    <row r="2006" spans="1:2" hidden="1" x14ac:dyDescent="0.25">
      <c r="A2006" s="476" t="s">
        <v>3399</v>
      </c>
      <c r="B2006" s="481">
        <v>0.47569444444444442</v>
      </c>
    </row>
    <row r="2007" spans="1:2" hidden="1" x14ac:dyDescent="0.25">
      <c r="A2007" s="476" t="s">
        <v>3400</v>
      </c>
      <c r="B2007" s="481">
        <v>0.47638888888888892</v>
      </c>
    </row>
    <row r="2008" spans="1:2" hidden="1" x14ac:dyDescent="0.25">
      <c r="A2008" s="476" t="s">
        <v>3401</v>
      </c>
      <c r="B2008" s="481">
        <v>0.47638888888888892</v>
      </c>
    </row>
    <row r="2009" spans="1:2" hidden="1" x14ac:dyDescent="0.25">
      <c r="A2009" s="476" t="s">
        <v>3402</v>
      </c>
      <c r="B2009" s="481">
        <v>0.47638888888888892</v>
      </c>
    </row>
    <row r="2010" spans="1:2" hidden="1" x14ac:dyDescent="0.25">
      <c r="A2010" s="476" t="s">
        <v>3403</v>
      </c>
      <c r="B2010" s="481">
        <v>0.47638888888888892</v>
      </c>
    </row>
    <row r="2011" spans="1:2" hidden="1" x14ac:dyDescent="0.25">
      <c r="A2011" s="476" t="s">
        <v>3404</v>
      </c>
      <c r="B2011" s="481">
        <v>0.47638888888888892</v>
      </c>
    </row>
    <row r="2012" spans="1:2" hidden="1" x14ac:dyDescent="0.25">
      <c r="A2012" s="476" t="s">
        <v>3405</v>
      </c>
      <c r="B2012" s="481">
        <v>0.47569444444444442</v>
      </c>
    </row>
    <row r="2013" spans="1:2" hidden="1" x14ac:dyDescent="0.25">
      <c r="A2013" s="476" t="s">
        <v>3406</v>
      </c>
      <c r="B2013" s="481">
        <v>0.47638888888888892</v>
      </c>
    </row>
    <row r="2014" spans="1:2" hidden="1" x14ac:dyDescent="0.25">
      <c r="A2014" s="476" t="s">
        <v>3407</v>
      </c>
      <c r="B2014" s="481">
        <v>0.47638888888888892</v>
      </c>
    </row>
    <row r="2015" spans="1:2" hidden="1" x14ac:dyDescent="0.25">
      <c r="A2015" s="476" t="s">
        <v>3408</v>
      </c>
      <c r="B2015" s="481">
        <v>0.47638888888888892</v>
      </c>
    </row>
    <row r="2016" spans="1:2" hidden="1" x14ac:dyDescent="0.25">
      <c r="A2016" s="476" t="s">
        <v>3409</v>
      </c>
      <c r="B2016" s="481">
        <v>0.4770833333333333</v>
      </c>
    </row>
    <row r="2017" spans="1:2" hidden="1" x14ac:dyDescent="0.25">
      <c r="A2017" s="476" t="s">
        <v>3410</v>
      </c>
      <c r="B2017" s="481">
        <v>0.47638888888888892</v>
      </c>
    </row>
    <row r="2018" spans="1:2" hidden="1" x14ac:dyDescent="0.25">
      <c r="A2018" s="476" t="s">
        <v>3411</v>
      </c>
      <c r="B2018" s="481">
        <v>0.47638888888888892</v>
      </c>
    </row>
    <row r="2019" spans="1:2" hidden="1" x14ac:dyDescent="0.25">
      <c r="A2019" s="476" t="s">
        <v>3412</v>
      </c>
      <c r="B2019" s="481">
        <v>0.47638888888888892</v>
      </c>
    </row>
    <row r="2020" spans="1:2" hidden="1" x14ac:dyDescent="0.25">
      <c r="A2020" s="476" t="s">
        <v>3413</v>
      </c>
      <c r="B2020" s="481">
        <v>0.47638888888888892</v>
      </c>
    </row>
    <row r="2021" spans="1:2" hidden="1" x14ac:dyDescent="0.25">
      <c r="A2021" s="476" t="s">
        <v>3414</v>
      </c>
      <c r="B2021" s="481">
        <v>0.47638888888888892</v>
      </c>
    </row>
    <row r="2022" spans="1:2" hidden="1" x14ac:dyDescent="0.25">
      <c r="A2022" s="476" t="s">
        <v>3415</v>
      </c>
      <c r="B2022" s="481">
        <v>0.47638888888888892</v>
      </c>
    </row>
    <row r="2023" spans="1:2" hidden="1" x14ac:dyDescent="0.25">
      <c r="A2023" s="476" t="s">
        <v>3416</v>
      </c>
      <c r="B2023" s="481">
        <v>0.4770833333333333</v>
      </c>
    </row>
    <row r="2024" spans="1:2" hidden="1" x14ac:dyDescent="0.25">
      <c r="A2024" s="476" t="s">
        <v>3417</v>
      </c>
      <c r="B2024" s="481">
        <v>0.47638888888888892</v>
      </c>
    </row>
    <row r="2025" spans="1:2" hidden="1" x14ac:dyDescent="0.25">
      <c r="A2025" s="476" t="s">
        <v>3418</v>
      </c>
      <c r="B2025" s="481">
        <v>0.47638888888888892</v>
      </c>
    </row>
    <row r="2026" spans="1:2" hidden="1" x14ac:dyDescent="0.25">
      <c r="A2026" s="476" t="s">
        <v>3419</v>
      </c>
      <c r="B2026" s="481">
        <v>0.47638888888888892</v>
      </c>
    </row>
    <row r="2027" spans="1:2" hidden="1" x14ac:dyDescent="0.25">
      <c r="A2027" s="476" t="s">
        <v>3420</v>
      </c>
      <c r="B2027" s="481">
        <v>0.4770833333333333</v>
      </c>
    </row>
    <row r="2028" spans="1:2" hidden="1" x14ac:dyDescent="0.25">
      <c r="A2028" s="476" t="s">
        <v>3421</v>
      </c>
      <c r="B2028" s="481">
        <v>0.4770833333333333</v>
      </c>
    </row>
    <row r="2029" spans="1:2" hidden="1" x14ac:dyDescent="0.25">
      <c r="A2029" s="476" t="s">
        <v>3422</v>
      </c>
      <c r="B2029" s="481">
        <v>0.47638888888888892</v>
      </c>
    </row>
    <row r="2030" spans="1:2" hidden="1" x14ac:dyDescent="0.25">
      <c r="A2030" s="476" t="s">
        <v>3423</v>
      </c>
      <c r="B2030" s="481">
        <v>0.47638888888888892</v>
      </c>
    </row>
    <row r="2031" spans="1:2" hidden="1" x14ac:dyDescent="0.25">
      <c r="A2031" s="476" t="s">
        <v>3424</v>
      </c>
      <c r="B2031" s="481">
        <v>0.47638888888888892</v>
      </c>
    </row>
    <row r="2032" spans="1:2" hidden="1" x14ac:dyDescent="0.25">
      <c r="A2032" s="476" t="s">
        <v>3425</v>
      </c>
      <c r="B2032" s="481">
        <v>0.47569444444444442</v>
      </c>
    </row>
    <row r="2033" spans="1:2" hidden="1" x14ac:dyDescent="0.25">
      <c r="A2033" s="476" t="s">
        <v>3426</v>
      </c>
      <c r="B2033" s="481">
        <v>0.47638888888888892</v>
      </c>
    </row>
    <row r="2034" spans="1:2" hidden="1" x14ac:dyDescent="0.25">
      <c r="A2034" s="476" t="s">
        <v>3427</v>
      </c>
      <c r="B2034" s="481">
        <v>0.4770833333333333</v>
      </c>
    </row>
    <row r="2035" spans="1:2" hidden="1" x14ac:dyDescent="0.25">
      <c r="A2035" s="476" t="s">
        <v>3428</v>
      </c>
      <c r="B2035" s="481">
        <v>0.47638888888888892</v>
      </c>
    </row>
    <row r="2036" spans="1:2" hidden="1" x14ac:dyDescent="0.25">
      <c r="A2036" s="476" t="s">
        <v>3429</v>
      </c>
      <c r="B2036" s="481">
        <v>0.47638888888888892</v>
      </c>
    </row>
    <row r="2037" spans="1:2" hidden="1" x14ac:dyDescent="0.25">
      <c r="A2037" s="476" t="s">
        <v>3430</v>
      </c>
      <c r="B2037" s="481">
        <v>0.47638888888888892</v>
      </c>
    </row>
    <row r="2038" spans="1:2" hidden="1" x14ac:dyDescent="0.25">
      <c r="A2038" s="476" t="s">
        <v>3431</v>
      </c>
      <c r="B2038" s="481">
        <v>0.47638888888888892</v>
      </c>
    </row>
    <row r="2039" spans="1:2" hidden="1" x14ac:dyDescent="0.25">
      <c r="A2039" s="476" t="s">
        <v>3432</v>
      </c>
      <c r="B2039" s="481">
        <v>0.47638888888888892</v>
      </c>
    </row>
    <row r="2040" spans="1:2" hidden="1" x14ac:dyDescent="0.25">
      <c r="A2040" s="476" t="s">
        <v>3433</v>
      </c>
      <c r="B2040" s="481">
        <v>0.4770833333333333</v>
      </c>
    </row>
    <row r="2041" spans="1:2" hidden="1" x14ac:dyDescent="0.25">
      <c r="A2041" s="476" t="s">
        <v>3434</v>
      </c>
      <c r="B2041" s="481">
        <v>0.47638888888888892</v>
      </c>
    </row>
    <row r="2042" spans="1:2" hidden="1" x14ac:dyDescent="0.25">
      <c r="A2042" s="476" t="s">
        <v>3435</v>
      </c>
      <c r="B2042" s="481">
        <v>0.47638888888888892</v>
      </c>
    </row>
    <row r="2043" spans="1:2" hidden="1" x14ac:dyDescent="0.25">
      <c r="A2043" s="476" t="s">
        <v>3436</v>
      </c>
      <c r="B2043" s="481">
        <v>0.47638888888888892</v>
      </c>
    </row>
    <row r="2044" spans="1:2" hidden="1" x14ac:dyDescent="0.25">
      <c r="A2044" s="476" t="s">
        <v>3437</v>
      </c>
      <c r="B2044" s="481">
        <v>0.47638888888888892</v>
      </c>
    </row>
    <row r="2045" spans="1:2" hidden="1" x14ac:dyDescent="0.25">
      <c r="A2045" s="476" t="s">
        <v>3438</v>
      </c>
      <c r="B2045" s="481">
        <v>0.47638888888888892</v>
      </c>
    </row>
    <row r="2046" spans="1:2" hidden="1" x14ac:dyDescent="0.25">
      <c r="A2046" s="476" t="s">
        <v>3439</v>
      </c>
      <c r="B2046" s="481">
        <v>0.47638888888888892</v>
      </c>
    </row>
    <row r="2047" spans="1:2" hidden="1" x14ac:dyDescent="0.25">
      <c r="A2047" s="476" t="s">
        <v>3440</v>
      </c>
      <c r="B2047" s="481">
        <v>0.47638888888888892</v>
      </c>
    </row>
    <row r="2048" spans="1:2" hidden="1" x14ac:dyDescent="0.25">
      <c r="A2048" s="476" t="s">
        <v>3441</v>
      </c>
      <c r="B2048" s="481">
        <v>0.47638888888888892</v>
      </c>
    </row>
    <row r="2049" spans="1:2" hidden="1" x14ac:dyDescent="0.25">
      <c r="A2049" s="476" t="s">
        <v>3442</v>
      </c>
      <c r="B2049" s="481">
        <v>0.47638888888888892</v>
      </c>
    </row>
    <row r="2050" spans="1:2" hidden="1" x14ac:dyDescent="0.25">
      <c r="A2050" s="476" t="s">
        <v>3443</v>
      </c>
      <c r="B2050" s="481">
        <v>0.47638888888888892</v>
      </c>
    </row>
    <row r="2051" spans="1:2" hidden="1" x14ac:dyDescent="0.25">
      <c r="A2051" s="476" t="s">
        <v>3444</v>
      </c>
      <c r="B2051" s="481">
        <v>0.47638888888888892</v>
      </c>
    </row>
    <row r="2052" spans="1:2" hidden="1" x14ac:dyDescent="0.25">
      <c r="A2052" s="476" t="s">
        <v>3445</v>
      </c>
      <c r="B2052" s="481">
        <v>0.47638888888888892</v>
      </c>
    </row>
    <row r="2053" spans="1:2" hidden="1" x14ac:dyDescent="0.25">
      <c r="A2053" s="476" t="s">
        <v>3446</v>
      </c>
      <c r="B2053" s="481">
        <v>0.47638888888888892</v>
      </c>
    </row>
    <row r="2054" spans="1:2" hidden="1" x14ac:dyDescent="0.25">
      <c r="A2054" s="476" t="s">
        <v>3447</v>
      </c>
      <c r="B2054" s="481">
        <v>0.47638888888888892</v>
      </c>
    </row>
    <row r="2055" spans="1:2" hidden="1" x14ac:dyDescent="0.25">
      <c r="A2055" s="476" t="s">
        <v>3448</v>
      </c>
      <c r="B2055" s="481">
        <v>0.47638888888888892</v>
      </c>
    </row>
    <row r="2056" spans="1:2" hidden="1" x14ac:dyDescent="0.25">
      <c r="A2056" s="476" t="s">
        <v>3449</v>
      </c>
      <c r="B2056" s="481">
        <v>0.47638888888888892</v>
      </c>
    </row>
    <row r="2057" spans="1:2" hidden="1" x14ac:dyDescent="0.25">
      <c r="A2057" s="476" t="s">
        <v>3450</v>
      </c>
      <c r="B2057" s="481">
        <v>0.47638888888888892</v>
      </c>
    </row>
    <row r="2058" spans="1:2" hidden="1" x14ac:dyDescent="0.25">
      <c r="A2058" s="476" t="s">
        <v>3451</v>
      </c>
      <c r="B2058" s="481">
        <v>0.47638888888888892</v>
      </c>
    </row>
    <row r="2059" spans="1:2" hidden="1" x14ac:dyDescent="0.25">
      <c r="A2059" s="476" t="s">
        <v>3452</v>
      </c>
      <c r="B2059" s="481">
        <v>0.47638888888888892</v>
      </c>
    </row>
    <row r="2060" spans="1:2" hidden="1" x14ac:dyDescent="0.25">
      <c r="A2060" s="476" t="s">
        <v>3453</v>
      </c>
      <c r="B2060" s="481">
        <v>0.47638888888888892</v>
      </c>
    </row>
    <row r="2061" spans="1:2" hidden="1" x14ac:dyDescent="0.25">
      <c r="A2061" s="476" t="s">
        <v>3454</v>
      </c>
      <c r="B2061" s="481">
        <v>0.47638888888888892</v>
      </c>
    </row>
    <row r="2062" spans="1:2" hidden="1" x14ac:dyDescent="0.25">
      <c r="A2062" s="476" t="s">
        <v>3455</v>
      </c>
      <c r="B2062" s="481">
        <v>0.47638888888888892</v>
      </c>
    </row>
    <row r="2063" spans="1:2" hidden="1" x14ac:dyDescent="0.25">
      <c r="A2063" s="476" t="s">
        <v>3456</v>
      </c>
      <c r="B2063" s="481">
        <v>0.47638888888888892</v>
      </c>
    </row>
    <row r="2064" spans="1:2" hidden="1" x14ac:dyDescent="0.25">
      <c r="A2064" s="476" t="s">
        <v>3457</v>
      </c>
      <c r="B2064" s="481">
        <v>0.47638888888888892</v>
      </c>
    </row>
    <row r="2065" spans="1:2" hidden="1" x14ac:dyDescent="0.25">
      <c r="A2065" s="476" t="s">
        <v>3458</v>
      </c>
      <c r="B2065" s="481">
        <v>0.47638888888888892</v>
      </c>
    </row>
    <row r="2066" spans="1:2" hidden="1" x14ac:dyDescent="0.25">
      <c r="A2066" s="476" t="s">
        <v>3459</v>
      </c>
      <c r="B2066" s="481">
        <v>0.47638888888888892</v>
      </c>
    </row>
    <row r="2067" spans="1:2" hidden="1" x14ac:dyDescent="0.25">
      <c r="A2067" s="476" t="s">
        <v>3460</v>
      </c>
      <c r="B2067" s="481">
        <v>0.47638888888888892</v>
      </c>
    </row>
    <row r="2068" spans="1:2" hidden="1" x14ac:dyDescent="0.25">
      <c r="A2068" s="476" t="s">
        <v>3461</v>
      </c>
      <c r="B2068" s="481">
        <v>0.47638888888888892</v>
      </c>
    </row>
    <row r="2069" spans="1:2" hidden="1" x14ac:dyDescent="0.25">
      <c r="A2069" s="476" t="s">
        <v>3462</v>
      </c>
      <c r="B2069" s="481">
        <v>0.47638888888888892</v>
      </c>
    </row>
    <row r="2070" spans="1:2" hidden="1" x14ac:dyDescent="0.25">
      <c r="A2070" s="476" t="s">
        <v>3463</v>
      </c>
      <c r="B2070" s="481">
        <v>0.4770833333333333</v>
      </c>
    </row>
    <row r="2071" spans="1:2" hidden="1" x14ac:dyDescent="0.25">
      <c r="A2071" s="476" t="s">
        <v>3464</v>
      </c>
      <c r="B2071" s="481">
        <v>0.4770833333333333</v>
      </c>
    </row>
    <row r="2072" spans="1:2" hidden="1" x14ac:dyDescent="0.25">
      <c r="A2072" s="476" t="s">
        <v>3465</v>
      </c>
      <c r="B2072" s="481">
        <v>0.47638888888888892</v>
      </c>
    </row>
    <row r="2073" spans="1:2" hidden="1" x14ac:dyDescent="0.25">
      <c r="A2073" s="476" t="s">
        <v>3466</v>
      </c>
      <c r="B2073" s="481">
        <v>0.47638888888888892</v>
      </c>
    </row>
    <row r="2074" spans="1:2" hidden="1" x14ac:dyDescent="0.25">
      <c r="A2074" s="476" t="s">
        <v>3467</v>
      </c>
      <c r="B2074" s="481">
        <v>0.47638888888888892</v>
      </c>
    </row>
    <row r="2075" spans="1:2" hidden="1" x14ac:dyDescent="0.25">
      <c r="A2075" s="476" t="s">
        <v>3468</v>
      </c>
      <c r="B2075" s="481">
        <v>0.47638888888888892</v>
      </c>
    </row>
    <row r="2076" spans="1:2" hidden="1" x14ac:dyDescent="0.25">
      <c r="A2076" s="476" t="s">
        <v>3469</v>
      </c>
      <c r="B2076" s="481">
        <v>0.47638888888888892</v>
      </c>
    </row>
    <row r="2077" spans="1:2" hidden="1" x14ac:dyDescent="0.25">
      <c r="A2077" s="476" t="s">
        <v>3470</v>
      </c>
      <c r="B2077" s="481">
        <v>0.47638888888888892</v>
      </c>
    </row>
    <row r="2078" spans="1:2" hidden="1" x14ac:dyDescent="0.25">
      <c r="A2078" s="476" t="s">
        <v>3471</v>
      </c>
      <c r="B2078" s="481">
        <v>0.47638888888888892</v>
      </c>
    </row>
    <row r="2079" spans="1:2" hidden="1" x14ac:dyDescent="0.25">
      <c r="A2079" s="476" t="s">
        <v>3472</v>
      </c>
      <c r="B2079" s="481">
        <v>0.47638888888888892</v>
      </c>
    </row>
    <row r="2080" spans="1:2" hidden="1" x14ac:dyDescent="0.25">
      <c r="A2080" s="476" t="s">
        <v>3473</v>
      </c>
      <c r="B2080" s="481">
        <v>0.4770833333333333</v>
      </c>
    </row>
    <row r="2081" spans="1:2" hidden="1" x14ac:dyDescent="0.25">
      <c r="A2081" s="476" t="s">
        <v>3474</v>
      </c>
      <c r="B2081" s="481">
        <v>0.47638888888888892</v>
      </c>
    </row>
    <row r="2082" spans="1:2" hidden="1" x14ac:dyDescent="0.25">
      <c r="A2082" s="476" t="s">
        <v>3475</v>
      </c>
      <c r="B2082" s="481">
        <v>0.47638888888888892</v>
      </c>
    </row>
    <row r="2083" spans="1:2" hidden="1" x14ac:dyDescent="0.25">
      <c r="A2083" s="476" t="s">
        <v>3476</v>
      </c>
      <c r="B2083" s="481">
        <v>0.47638888888888892</v>
      </c>
    </row>
    <row r="2084" spans="1:2" hidden="1" x14ac:dyDescent="0.25">
      <c r="A2084" s="476" t="s">
        <v>3477</v>
      </c>
      <c r="B2084" s="481">
        <v>0.47638888888888892</v>
      </c>
    </row>
    <row r="2085" spans="1:2" hidden="1" x14ac:dyDescent="0.25">
      <c r="A2085" s="476" t="s">
        <v>3478</v>
      </c>
      <c r="B2085" s="481">
        <v>0.4770833333333333</v>
      </c>
    </row>
    <row r="2086" spans="1:2" hidden="1" x14ac:dyDescent="0.25">
      <c r="A2086" s="476" t="s">
        <v>3479</v>
      </c>
      <c r="B2086" s="481">
        <v>0.4770833333333333</v>
      </c>
    </row>
    <row r="2087" spans="1:2" hidden="1" x14ac:dyDescent="0.25">
      <c r="A2087" s="476" t="s">
        <v>3480</v>
      </c>
      <c r="B2087" s="481">
        <v>0.4770833333333333</v>
      </c>
    </row>
    <row r="2088" spans="1:2" hidden="1" x14ac:dyDescent="0.25">
      <c r="A2088" s="476" t="s">
        <v>3481</v>
      </c>
      <c r="B2088" s="481">
        <v>0.47638888888888892</v>
      </c>
    </row>
    <row r="2089" spans="1:2" hidden="1" x14ac:dyDescent="0.25">
      <c r="A2089" s="476" t="s">
        <v>3482</v>
      </c>
      <c r="B2089" s="481">
        <v>0.4770833333333333</v>
      </c>
    </row>
    <row r="2090" spans="1:2" hidden="1" x14ac:dyDescent="0.25">
      <c r="A2090" s="476" t="s">
        <v>3483</v>
      </c>
      <c r="B2090" s="481">
        <v>0.47638888888888892</v>
      </c>
    </row>
    <row r="2091" spans="1:2" hidden="1" x14ac:dyDescent="0.25">
      <c r="A2091" s="476" t="s">
        <v>3484</v>
      </c>
      <c r="B2091" s="481">
        <v>0.47638888888888892</v>
      </c>
    </row>
    <row r="2092" spans="1:2" hidden="1" x14ac:dyDescent="0.25">
      <c r="A2092" s="476" t="s">
        <v>3485</v>
      </c>
      <c r="B2092" s="481">
        <v>0.47638888888888892</v>
      </c>
    </row>
    <row r="2093" spans="1:2" hidden="1" x14ac:dyDescent="0.25">
      <c r="A2093" s="476" t="s">
        <v>3486</v>
      </c>
      <c r="B2093" s="481">
        <v>0.47638888888888892</v>
      </c>
    </row>
    <row r="2094" spans="1:2" hidden="1" x14ac:dyDescent="0.25">
      <c r="A2094" s="476" t="s">
        <v>3487</v>
      </c>
      <c r="B2094" s="481">
        <v>0.4770833333333333</v>
      </c>
    </row>
    <row r="2095" spans="1:2" hidden="1" x14ac:dyDescent="0.25">
      <c r="A2095" s="476" t="s">
        <v>3488</v>
      </c>
      <c r="B2095" s="481">
        <v>0.47638888888888892</v>
      </c>
    </row>
    <row r="2096" spans="1:2" hidden="1" x14ac:dyDescent="0.25">
      <c r="A2096" s="476" t="s">
        <v>3489</v>
      </c>
      <c r="B2096" s="481">
        <v>0.47638888888888892</v>
      </c>
    </row>
    <row r="2097" spans="1:2" hidden="1" x14ac:dyDescent="0.25">
      <c r="A2097" s="476" t="s">
        <v>3490</v>
      </c>
      <c r="B2097" s="481">
        <v>0.47638888888888892</v>
      </c>
    </row>
    <row r="2098" spans="1:2" hidden="1" x14ac:dyDescent="0.25">
      <c r="A2098" s="476" t="s">
        <v>3491</v>
      </c>
      <c r="B2098" s="481">
        <v>0.47638888888888892</v>
      </c>
    </row>
    <row r="2099" spans="1:2" hidden="1" x14ac:dyDescent="0.25">
      <c r="A2099" s="476" t="s">
        <v>3492</v>
      </c>
      <c r="B2099" s="481">
        <v>0.47638888888888892</v>
      </c>
    </row>
    <row r="2100" spans="1:2" hidden="1" x14ac:dyDescent="0.25">
      <c r="A2100" s="476" t="s">
        <v>3493</v>
      </c>
      <c r="B2100" s="481">
        <v>0.47638888888888892</v>
      </c>
    </row>
    <row r="2101" spans="1:2" hidden="1" x14ac:dyDescent="0.25">
      <c r="A2101" s="476" t="s">
        <v>3494</v>
      </c>
      <c r="B2101" s="481">
        <v>0.47638888888888892</v>
      </c>
    </row>
    <row r="2102" spans="1:2" hidden="1" x14ac:dyDescent="0.25">
      <c r="A2102" s="476" t="s">
        <v>3495</v>
      </c>
      <c r="B2102" s="481">
        <v>0.47638888888888892</v>
      </c>
    </row>
    <row r="2103" spans="1:2" hidden="1" x14ac:dyDescent="0.25">
      <c r="A2103" s="476" t="s">
        <v>3496</v>
      </c>
      <c r="B2103" s="481">
        <v>0.47638888888888892</v>
      </c>
    </row>
    <row r="2104" spans="1:2" hidden="1" x14ac:dyDescent="0.25">
      <c r="A2104" s="476" t="s">
        <v>3497</v>
      </c>
      <c r="B2104" s="481">
        <v>0.4770833333333333</v>
      </c>
    </row>
    <row r="2105" spans="1:2" hidden="1" x14ac:dyDescent="0.25">
      <c r="A2105" s="476" t="s">
        <v>3498</v>
      </c>
      <c r="B2105" s="481">
        <v>0.47638888888888892</v>
      </c>
    </row>
    <row r="2106" spans="1:2" hidden="1" x14ac:dyDescent="0.25">
      <c r="A2106" s="476" t="s">
        <v>3499</v>
      </c>
      <c r="B2106" s="481">
        <v>0.47638888888888892</v>
      </c>
    </row>
    <row r="2107" spans="1:2" hidden="1" x14ac:dyDescent="0.25">
      <c r="A2107" s="476" t="s">
        <v>3500</v>
      </c>
      <c r="B2107" s="481">
        <v>0.47638888888888892</v>
      </c>
    </row>
    <row r="2108" spans="1:2" hidden="1" x14ac:dyDescent="0.25">
      <c r="A2108" s="476" t="s">
        <v>3501</v>
      </c>
      <c r="B2108" s="481">
        <v>0.47638888888888892</v>
      </c>
    </row>
    <row r="2109" spans="1:2" hidden="1" x14ac:dyDescent="0.25">
      <c r="A2109" s="476" t="s">
        <v>3502</v>
      </c>
      <c r="B2109" s="481">
        <v>0.4770833333333333</v>
      </c>
    </row>
    <row r="2110" spans="1:2" hidden="1" x14ac:dyDescent="0.25">
      <c r="A2110" s="476" t="s">
        <v>3503</v>
      </c>
      <c r="B2110" s="481">
        <v>0.47638888888888892</v>
      </c>
    </row>
    <row r="2111" spans="1:2" hidden="1" x14ac:dyDescent="0.25">
      <c r="A2111" s="476" t="s">
        <v>3504</v>
      </c>
      <c r="B2111" s="481">
        <v>0.47638888888888892</v>
      </c>
    </row>
    <row r="2112" spans="1:2" hidden="1" x14ac:dyDescent="0.25">
      <c r="A2112" s="476" t="s">
        <v>3505</v>
      </c>
      <c r="B2112" s="481">
        <v>0.47638888888888892</v>
      </c>
    </row>
    <row r="2113" spans="1:2" hidden="1" x14ac:dyDescent="0.25">
      <c r="A2113" s="476" t="s">
        <v>3506</v>
      </c>
      <c r="B2113" s="481">
        <v>0.47638888888888892</v>
      </c>
    </row>
    <row r="2114" spans="1:2" hidden="1" x14ac:dyDescent="0.25">
      <c r="A2114" s="476" t="s">
        <v>3507</v>
      </c>
      <c r="B2114" s="481">
        <v>0.47638888888888892</v>
      </c>
    </row>
    <row r="2115" spans="1:2" hidden="1" x14ac:dyDescent="0.25">
      <c r="A2115" s="476" t="s">
        <v>3508</v>
      </c>
      <c r="B2115" s="481">
        <v>0.47638888888888892</v>
      </c>
    </row>
    <row r="2116" spans="1:2" hidden="1" x14ac:dyDescent="0.25">
      <c r="A2116" s="476" t="s">
        <v>3509</v>
      </c>
      <c r="B2116" s="481">
        <v>0.47638888888888892</v>
      </c>
    </row>
    <row r="2117" spans="1:2" hidden="1" x14ac:dyDescent="0.25">
      <c r="A2117" s="476" t="s">
        <v>3510</v>
      </c>
      <c r="B2117" s="481">
        <v>0.47638888888888892</v>
      </c>
    </row>
    <row r="2118" spans="1:2" hidden="1" x14ac:dyDescent="0.25">
      <c r="A2118" s="476" t="s">
        <v>3511</v>
      </c>
      <c r="B2118" s="481">
        <v>0.4770833333333333</v>
      </c>
    </row>
    <row r="2119" spans="1:2" hidden="1" x14ac:dyDescent="0.25">
      <c r="A2119" s="476" t="s">
        <v>3512</v>
      </c>
      <c r="B2119" s="481">
        <v>0.47638888888888892</v>
      </c>
    </row>
    <row r="2120" spans="1:2" hidden="1" x14ac:dyDescent="0.25">
      <c r="A2120" s="476" t="s">
        <v>3513</v>
      </c>
      <c r="B2120" s="481">
        <v>0.47638888888888892</v>
      </c>
    </row>
    <row r="2121" spans="1:2" hidden="1" x14ac:dyDescent="0.25">
      <c r="A2121" s="476" t="s">
        <v>3514</v>
      </c>
      <c r="B2121" s="481">
        <v>0.47638888888888892</v>
      </c>
    </row>
    <row r="2122" spans="1:2" hidden="1" x14ac:dyDescent="0.25">
      <c r="A2122" s="476" t="s">
        <v>3515</v>
      </c>
      <c r="B2122" s="481">
        <v>0.4770833333333333</v>
      </c>
    </row>
    <row r="2123" spans="1:2" hidden="1" x14ac:dyDescent="0.25">
      <c r="A2123" s="476" t="s">
        <v>3516</v>
      </c>
      <c r="B2123" s="481">
        <v>0.4770833333333333</v>
      </c>
    </row>
    <row r="2124" spans="1:2" hidden="1" x14ac:dyDescent="0.25">
      <c r="A2124" s="476" t="s">
        <v>3517</v>
      </c>
      <c r="B2124" s="481">
        <v>0.47638888888888892</v>
      </c>
    </row>
    <row r="2125" spans="1:2" hidden="1" x14ac:dyDescent="0.25">
      <c r="A2125" s="476" t="s">
        <v>3518</v>
      </c>
      <c r="B2125" s="481">
        <v>0.4770833333333333</v>
      </c>
    </row>
    <row r="2126" spans="1:2" hidden="1" x14ac:dyDescent="0.25">
      <c r="A2126" s="476" t="s">
        <v>3519</v>
      </c>
      <c r="B2126" s="481">
        <v>0.47638888888888892</v>
      </c>
    </row>
    <row r="2127" spans="1:2" hidden="1" x14ac:dyDescent="0.25">
      <c r="A2127" s="476" t="s">
        <v>3520</v>
      </c>
      <c r="B2127" s="481">
        <v>0.47638888888888892</v>
      </c>
    </row>
    <row r="2128" spans="1:2" hidden="1" x14ac:dyDescent="0.25">
      <c r="A2128" s="476" t="s">
        <v>3521</v>
      </c>
      <c r="B2128" s="481">
        <v>0.47638888888888892</v>
      </c>
    </row>
    <row r="2129" spans="1:2" hidden="1" x14ac:dyDescent="0.25">
      <c r="A2129" s="476" t="s">
        <v>3522</v>
      </c>
      <c r="B2129" s="481">
        <v>0.47638888888888892</v>
      </c>
    </row>
    <row r="2130" spans="1:2" hidden="1" x14ac:dyDescent="0.25">
      <c r="A2130" s="476" t="s">
        <v>3523</v>
      </c>
      <c r="B2130" s="481">
        <v>0.47638888888888892</v>
      </c>
    </row>
    <row r="2131" spans="1:2" hidden="1" x14ac:dyDescent="0.25">
      <c r="A2131" s="476" t="s">
        <v>3524</v>
      </c>
      <c r="B2131" s="481">
        <v>0.47638888888888892</v>
      </c>
    </row>
    <row r="2132" spans="1:2" hidden="1" x14ac:dyDescent="0.25">
      <c r="A2132" s="476" t="s">
        <v>3525</v>
      </c>
      <c r="B2132" s="481">
        <v>0.4770833333333333</v>
      </c>
    </row>
    <row r="2133" spans="1:2" hidden="1" x14ac:dyDescent="0.25">
      <c r="A2133" s="476" t="s">
        <v>3526</v>
      </c>
      <c r="B2133" s="481">
        <v>0.47638888888888892</v>
      </c>
    </row>
    <row r="2134" spans="1:2" hidden="1" x14ac:dyDescent="0.25">
      <c r="A2134" s="476" t="s">
        <v>3527</v>
      </c>
      <c r="B2134" s="481">
        <v>0.47638888888888892</v>
      </c>
    </row>
    <row r="2135" spans="1:2" hidden="1" x14ac:dyDescent="0.25">
      <c r="A2135" s="476" t="s">
        <v>3528</v>
      </c>
      <c r="B2135" s="481">
        <v>0.4770833333333333</v>
      </c>
    </row>
    <row r="2136" spans="1:2" hidden="1" x14ac:dyDescent="0.25">
      <c r="A2136" s="476" t="s">
        <v>3529</v>
      </c>
      <c r="B2136" s="481">
        <v>0.4770833333333333</v>
      </c>
    </row>
    <row r="2137" spans="1:2" hidden="1" x14ac:dyDescent="0.25">
      <c r="A2137" s="476" t="s">
        <v>3530</v>
      </c>
      <c r="B2137" s="481">
        <v>0.47638888888888892</v>
      </c>
    </row>
    <row r="2138" spans="1:2" hidden="1" x14ac:dyDescent="0.25">
      <c r="A2138" s="476" t="s">
        <v>3531</v>
      </c>
      <c r="B2138" s="481">
        <v>0.4770833333333333</v>
      </c>
    </row>
    <row r="2139" spans="1:2" hidden="1" x14ac:dyDescent="0.25">
      <c r="A2139" s="476" t="s">
        <v>3532</v>
      </c>
      <c r="B2139" s="481">
        <v>0.4770833333333333</v>
      </c>
    </row>
    <row r="2140" spans="1:2" hidden="1" x14ac:dyDescent="0.25">
      <c r="A2140" s="476" t="s">
        <v>3533</v>
      </c>
      <c r="B2140" s="481">
        <v>0.47638888888888892</v>
      </c>
    </row>
    <row r="2141" spans="1:2" hidden="1" x14ac:dyDescent="0.25">
      <c r="A2141" s="476" t="s">
        <v>3534</v>
      </c>
      <c r="B2141" s="481">
        <v>0.47638888888888892</v>
      </c>
    </row>
    <row r="2142" spans="1:2" hidden="1" x14ac:dyDescent="0.25">
      <c r="A2142" s="476" t="s">
        <v>3535</v>
      </c>
      <c r="B2142" s="481">
        <v>0.47638888888888892</v>
      </c>
    </row>
    <row r="2143" spans="1:2" hidden="1" x14ac:dyDescent="0.25">
      <c r="A2143" s="476" t="s">
        <v>3536</v>
      </c>
      <c r="B2143" s="481">
        <v>0.47638888888888892</v>
      </c>
    </row>
    <row r="2144" spans="1:2" hidden="1" x14ac:dyDescent="0.25">
      <c r="A2144" s="476" t="s">
        <v>3537</v>
      </c>
      <c r="B2144" s="481">
        <v>0.47638888888888892</v>
      </c>
    </row>
    <row r="2145" spans="1:2" hidden="1" x14ac:dyDescent="0.25">
      <c r="A2145" s="476" t="s">
        <v>3538</v>
      </c>
      <c r="B2145" s="481">
        <v>0.4770833333333333</v>
      </c>
    </row>
    <row r="2146" spans="1:2" hidden="1" x14ac:dyDescent="0.25">
      <c r="A2146" s="476" t="s">
        <v>3539</v>
      </c>
      <c r="B2146" s="481">
        <v>0.47638888888888892</v>
      </c>
    </row>
    <row r="2147" spans="1:2" hidden="1" x14ac:dyDescent="0.25">
      <c r="A2147" s="476" t="s">
        <v>3540</v>
      </c>
      <c r="B2147" s="481">
        <v>0.4770833333333333</v>
      </c>
    </row>
    <row r="2148" spans="1:2" hidden="1" x14ac:dyDescent="0.25">
      <c r="A2148" s="476" t="s">
        <v>3541</v>
      </c>
      <c r="B2148" s="481">
        <v>0.47638888888888892</v>
      </c>
    </row>
    <row r="2149" spans="1:2" hidden="1" x14ac:dyDescent="0.25">
      <c r="A2149" s="476" t="s">
        <v>3542</v>
      </c>
      <c r="B2149" s="481">
        <v>0.4770833333333333</v>
      </c>
    </row>
    <row r="2150" spans="1:2" hidden="1" x14ac:dyDescent="0.25">
      <c r="A2150" s="476" t="s">
        <v>3543</v>
      </c>
      <c r="B2150" s="481">
        <v>0.47638888888888892</v>
      </c>
    </row>
    <row r="2151" spans="1:2" hidden="1" x14ac:dyDescent="0.25">
      <c r="A2151" s="476" t="s">
        <v>3544</v>
      </c>
      <c r="B2151" s="481">
        <v>0.47638888888888892</v>
      </c>
    </row>
    <row r="2152" spans="1:2" hidden="1" x14ac:dyDescent="0.25">
      <c r="A2152" s="476" t="s">
        <v>3545</v>
      </c>
      <c r="B2152" s="481">
        <v>0.47638888888888892</v>
      </c>
    </row>
    <row r="2153" spans="1:2" hidden="1" x14ac:dyDescent="0.25">
      <c r="A2153" s="476" t="s">
        <v>3546</v>
      </c>
      <c r="B2153" s="481">
        <v>0.47638888888888892</v>
      </c>
    </row>
    <row r="2154" spans="1:2" hidden="1" x14ac:dyDescent="0.25">
      <c r="A2154" s="476" t="s">
        <v>3547</v>
      </c>
      <c r="B2154" s="481">
        <v>0.47638888888888892</v>
      </c>
    </row>
    <row r="2155" spans="1:2" hidden="1" x14ac:dyDescent="0.25">
      <c r="A2155" s="476" t="s">
        <v>3548</v>
      </c>
      <c r="B2155" s="481">
        <v>0.47638888888888892</v>
      </c>
    </row>
    <row r="2156" spans="1:2" hidden="1" x14ac:dyDescent="0.25">
      <c r="A2156" s="476" t="s">
        <v>3549</v>
      </c>
      <c r="B2156" s="481">
        <v>0.4770833333333333</v>
      </c>
    </row>
    <row r="2157" spans="1:2" hidden="1" x14ac:dyDescent="0.25">
      <c r="A2157" s="476" t="s">
        <v>3550</v>
      </c>
      <c r="B2157" s="481">
        <v>0.47638888888888892</v>
      </c>
    </row>
    <row r="2158" spans="1:2" hidden="1" x14ac:dyDescent="0.25">
      <c r="A2158" s="476" t="s">
        <v>3551</v>
      </c>
      <c r="B2158" s="481">
        <v>0.47638888888888892</v>
      </c>
    </row>
    <row r="2159" spans="1:2" hidden="1" x14ac:dyDescent="0.25">
      <c r="A2159" s="476" t="s">
        <v>3552</v>
      </c>
      <c r="B2159" s="481">
        <v>0.47569444444444442</v>
      </c>
    </row>
    <row r="2160" spans="1:2" hidden="1" x14ac:dyDescent="0.25">
      <c r="A2160" s="476" t="s">
        <v>3553</v>
      </c>
      <c r="B2160" s="481">
        <v>0.4770833333333333</v>
      </c>
    </row>
    <row r="2161" spans="1:2" hidden="1" x14ac:dyDescent="0.25">
      <c r="A2161" s="476" t="s">
        <v>3554</v>
      </c>
      <c r="B2161" s="481">
        <v>0.4770833333333333</v>
      </c>
    </row>
    <row r="2162" spans="1:2" hidden="1" x14ac:dyDescent="0.25">
      <c r="A2162" s="476" t="s">
        <v>3555</v>
      </c>
      <c r="B2162" s="481">
        <v>0.47638888888888892</v>
      </c>
    </row>
    <row r="2163" spans="1:2" hidden="1" x14ac:dyDescent="0.25">
      <c r="A2163" s="476" t="s">
        <v>3556</v>
      </c>
      <c r="B2163" s="481">
        <v>0.47638888888888892</v>
      </c>
    </row>
    <row r="2164" spans="1:2" hidden="1" x14ac:dyDescent="0.25">
      <c r="A2164" s="476" t="s">
        <v>3557</v>
      </c>
      <c r="B2164" s="481">
        <v>0.47638888888888892</v>
      </c>
    </row>
    <row r="2165" spans="1:2" hidden="1" x14ac:dyDescent="0.25">
      <c r="A2165" s="476" t="s">
        <v>3558</v>
      </c>
      <c r="B2165" s="481">
        <v>0.4770833333333333</v>
      </c>
    </row>
    <row r="2166" spans="1:2" hidden="1" x14ac:dyDescent="0.25">
      <c r="A2166" s="476" t="s">
        <v>3559</v>
      </c>
      <c r="B2166" s="481">
        <v>0.47638888888888892</v>
      </c>
    </row>
    <row r="2167" spans="1:2" hidden="1" x14ac:dyDescent="0.25">
      <c r="A2167" s="476" t="s">
        <v>3560</v>
      </c>
      <c r="B2167" s="481">
        <v>0.47638888888888892</v>
      </c>
    </row>
    <row r="2168" spans="1:2" hidden="1" x14ac:dyDescent="0.25">
      <c r="A2168" s="476" t="s">
        <v>3561</v>
      </c>
      <c r="B2168" s="481">
        <v>0.4770833333333333</v>
      </c>
    </row>
    <row r="2169" spans="1:2" hidden="1" x14ac:dyDescent="0.25">
      <c r="A2169" s="476" t="s">
        <v>3562</v>
      </c>
      <c r="B2169" s="481">
        <v>0.4770833333333333</v>
      </c>
    </row>
    <row r="2170" spans="1:2" hidden="1" x14ac:dyDescent="0.25">
      <c r="A2170" s="476" t="s">
        <v>3563</v>
      </c>
      <c r="B2170" s="481">
        <v>0.47638888888888892</v>
      </c>
    </row>
    <row r="2171" spans="1:2" hidden="1" x14ac:dyDescent="0.25">
      <c r="A2171" s="476" t="s">
        <v>3564</v>
      </c>
      <c r="B2171" s="481">
        <v>0.47638888888888892</v>
      </c>
    </row>
    <row r="2172" spans="1:2" hidden="1" x14ac:dyDescent="0.25">
      <c r="A2172" s="476" t="s">
        <v>3565</v>
      </c>
      <c r="B2172" s="481">
        <v>0.47638888888888892</v>
      </c>
    </row>
    <row r="2173" spans="1:2" hidden="1" x14ac:dyDescent="0.25">
      <c r="A2173" s="476" t="s">
        <v>3566</v>
      </c>
      <c r="B2173" s="481">
        <v>0.47638888888888892</v>
      </c>
    </row>
    <row r="2174" spans="1:2" hidden="1" x14ac:dyDescent="0.25">
      <c r="A2174" s="476" t="s">
        <v>3567</v>
      </c>
      <c r="B2174" s="481">
        <v>0.4770833333333333</v>
      </c>
    </row>
    <row r="2175" spans="1:2" hidden="1" x14ac:dyDescent="0.25">
      <c r="A2175" s="476" t="s">
        <v>3568</v>
      </c>
      <c r="B2175" s="481">
        <v>0.47638888888888892</v>
      </c>
    </row>
    <row r="2176" spans="1:2" hidden="1" x14ac:dyDescent="0.25">
      <c r="A2176" s="476" t="s">
        <v>3569</v>
      </c>
      <c r="B2176" s="481">
        <v>0.47638888888888892</v>
      </c>
    </row>
    <row r="2177" spans="1:2" hidden="1" x14ac:dyDescent="0.25">
      <c r="A2177" s="476" t="s">
        <v>3570</v>
      </c>
      <c r="B2177" s="481">
        <v>0.47638888888888892</v>
      </c>
    </row>
    <row r="2178" spans="1:2" hidden="1" x14ac:dyDescent="0.25">
      <c r="A2178" s="476" t="s">
        <v>3571</v>
      </c>
      <c r="B2178" s="481">
        <v>0.47638888888888892</v>
      </c>
    </row>
    <row r="2179" spans="1:2" hidden="1" x14ac:dyDescent="0.25">
      <c r="A2179" s="476" t="s">
        <v>3572</v>
      </c>
      <c r="B2179" s="481">
        <v>0.47638888888888892</v>
      </c>
    </row>
    <row r="2180" spans="1:2" hidden="1" x14ac:dyDescent="0.25">
      <c r="A2180" s="476" t="s">
        <v>3573</v>
      </c>
      <c r="B2180" s="481">
        <v>0.47638888888888892</v>
      </c>
    </row>
    <row r="2181" spans="1:2" hidden="1" x14ac:dyDescent="0.25">
      <c r="A2181" s="476" t="s">
        <v>3574</v>
      </c>
      <c r="B2181" s="481">
        <v>0.47638888888888892</v>
      </c>
    </row>
    <row r="2182" spans="1:2" hidden="1" x14ac:dyDescent="0.25">
      <c r="A2182" s="476" t="s">
        <v>3575</v>
      </c>
      <c r="B2182" s="481">
        <v>0.47638888888888892</v>
      </c>
    </row>
    <row r="2183" spans="1:2" hidden="1" x14ac:dyDescent="0.25">
      <c r="A2183" s="476" t="s">
        <v>3576</v>
      </c>
      <c r="B2183" s="481">
        <v>0.47638888888888892</v>
      </c>
    </row>
    <row r="2184" spans="1:2" hidden="1" x14ac:dyDescent="0.25">
      <c r="A2184" s="476" t="s">
        <v>3577</v>
      </c>
      <c r="B2184" s="481">
        <v>0.47638888888888892</v>
      </c>
    </row>
    <row r="2185" spans="1:2" hidden="1" x14ac:dyDescent="0.25">
      <c r="A2185" s="476" t="s">
        <v>3578</v>
      </c>
      <c r="B2185" s="481">
        <v>0.47638888888888892</v>
      </c>
    </row>
    <row r="2186" spans="1:2" hidden="1" x14ac:dyDescent="0.25">
      <c r="A2186" s="476" t="s">
        <v>3579</v>
      </c>
      <c r="B2186" s="481">
        <v>0.47638888888888892</v>
      </c>
    </row>
    <row r="2187" spans="1:2" hidden="1" x14ac:dyDescent="0.25">
      <c r="A2187" s="476" t="s">
        <v>3580</v>
      </c>
      <c r="B2187" s="481">
        <v>0.47638888888888892</v>
      </c>
    </row>
    <row r="2188" spans="1:2" hidden="1" x14ac:dyDescent="0.25">
      <c r="A2188" s="476" t="s">
        <v>3581</v>
      </c>
      <c r="B2188" s="481">
        <v>0.47638888888888892</v>
      </c>
    </row>
    <row r="2189" spans="1:2" hidden="1" x14ac:dyDescent="0.25">
      <c r="A2189" s="476" t="s">
        <v>3582</v>
      </c>
      <c r="B2189" s="481">
        <v>0.47638888888888892</v>
      </c>
    </row>
    <row r="2190" spans="1:2" hidden="1" x14ac:dyDescent="0.25">
      <c r="A2190" s="476" t="s">
        <v>3583</v>
      </c>
      <c r="B2190" s="481">
        <v>0.47638888888888892</v>
      </c>
    </row>
    <row r="2191" spans="1:2" hidden="1" x14ac:dyDescent="0.25">
      <c r="A2191" s="476" t="s">
        <v>3584</v>
      </c>
      <c r="B2191" s="481">
        <v>0.47638888888888892</v>
      </c>
    </row>
    <row r="2192" spans="1:2" hidden="1" x14ac:dyDescent="0.25">
      <c r="A2192" s="476" t="s">
        <v>3585</v>
      </c>
      <c r="B2192" s="481">
        <v>0.47638888888888892</v>
      </c>
    </row>
    <row r="2193" spans="1:2" hidden="1" x14ac:dyDescent="0.25">
      <c r="A2193" s="476" t="s">
        <v>3586</v>
      </c>
      <c r="B2193" s="481">
        <v>0.47638888888888892</v>
      </c>
    </row>
    <row r="2194" spans="1:2" hidden="1" x14ac:dyDescent="0.25">
      <c r="A2194" s="476" t="s">
        <v>3587</v>
      </c>
      <c r="B2194" s="481">
        <v>0.47638888888888892</v>
      </c>
    </row>
    <row r="2195" spans="1:2" hidden="1" x14ac:dyDescent="0.25">
      <c r="A2195" s="476" t="s">
        <v>3588</v>
      </c>
      <c r="B2195" s="481">
        <v>0.47638888888888892</v>
      </c>
    </row>
    <row r="2196" spans="1:2" hidden="1" x14ac:dyDescent="0.25">
      <c r="A2196" s="476" t="s">
        <v>3589</v>
      </c>
      <c r="B2196" s="481">
        <v>0.47638888888888892</v>
      </c>
    </row>
    <row r="2197" spans="1:2" hidden="1" x14ac:dyDescent="0.25">
      <c r="A2197" s="476" t="s">
        <v>3590</v>
      </c>
      <c r="B2197" s="481">
        <v>0.47638888888888892</v>
      </c>
    </row>
    <row r="2198" spans="1:2" hidden="1" x14ac:dyDescent="0.25">
      <c r="A2198" s="476" t="s">
        <v>3591</v>
      </c>
      <c r="B2198" s="481">
        <v>0.4770833333333333</v>
      </c>
    </row>
    <row r="2199" spans="1:2" hidden="1" x14ac:dyDescent="0.25">
      <c r="A2199" s="476" t="s">
        <v>3592</v>
      </c>
      <c r="B2199" s="481">
        <v>0.47638888888888892</v>
      </c>
    </row>
    <row r="2200" spans="1:2" hidden="1" x14ac:dyDescent="0.25">
      <c r="A2200" s="476" t="s">
        <v>3593</v>
      </c>
      <c r="B2200" s="481">
        <v>0.47638888888888892</v>
      </c>
    </row>
    <row r="2201" spans="1:2" hidden="1" x14ac:dyDescent="0.25">
      <c r="A2201" s="476" t="s">
        <v>3594</v>
      </c>
      <c r="B2201" s="481">
        <v>0.47638888888888892</v>
      </c>
    </row>
    <row r="2202" spans="1:2" hidden="1" x14ac:dyDescent="0.25">
      <c r="A2202" s="476" t="s">
        <v>3595</v>
      </c>
      <c r="B2202" s="481">
        <v>0.4770833333333333</v>
      </c>
    </row>
    <row r="2203" spans="1:2" hidden="1" x14ac:dyDescent="0.25">
      <c r="A2203" s="476" t="s">
        <v>3596</v>
      </c>
      <c r="B2203" s="481">
        <v>0.4770833333333333</v>
      </c>
    </row>
    <row r="2204" spans="1:2" hidden="1" x14ac:dyDescent="0.25">
      <c r="A2204" s="476" t="s">
        <v>3597</v>
      </c>
      <c r="B2204" s="481">
        <v>0.4770833333333333</v>
      </c>
    </row>
    <row r="2205" spans="1:2" hidden="1" x14ac:dyDescent="0.25">
      <c r="A2205" s="476" t="s">
        <v>3598</v>
      </c>
      <c r="B2205" s="481">
        <v>0.47638888888888892</v>
      </c>
    </row>
    <row r="2206" spans="1:2" hidden="1" x14ac:dyDescent="0.25">
      <c r="A2206" s="476" t="s">
        <v>3599</v>
      </c>
      <c r="B2206" s="481">
        <v>0.47638888888888892</v>
      </c>
    </row>
    <row r="2207" spans="1:2" hidden="1" x14ac:dyDescent="0.25">
      <c r="A2207" s="476" t="s">
        <v>3600</v>
      </c>
      <c r="B2207" s="481">
        <v>0.47638888888888892</v>
      </c>
    </row>
    <row r="2208" spans="1:2" hidden="1" x14ac:dyDescent="0.25">
      <c r="A2208" s="476" t="s">
        <v>3601</v>
      </c>
      <c r="B2208" s="481">
        <v>0.47638888888888892</v>
      </c>
    </row>
    <row r="2209" spans="1:2" hidden="1" x14ac:dyDescent="0.25">
      <c r="A2209" s="476" t="s">
        <v>3602</v>
      </c>
      <c r="B2209" s="481">
        <v>0.47638888888888892</v>
      </c>
    </row>
    <row r="2210" spans="1:2" hidden="1" x14ac:dyDescent="0.25">
      <c r="A2210" s="476" t="s">
        <v>3603</v>
      </c>
      <c r="B2210" s="481">
        <v>0.47638888888888892</v>
      </c>
    </row>
    <row r="2211" spans="1:2" hidden="1" x14ac:dyDescent="0.25">
      <c r="A2211" s="476" t="s">
        <v>3604</v>
      </c>
      <c r="B2211" s="481">
        <v>0.47638888888888892</v>
      </c>
    </row>
    <row r="2212" spans="1:2" hidden="1" x14ac:dyDescent="0.25">
      <c r="A2212" s="476" t="s">
        <v>3605</v>
      </c>
      <c r="B2212" s="481">
        <v>0.47638888888888892</v>
      </c>
    </row>
    <row r="2213" spans="1:2" hidden="1" x14ac:dyDescent="0.25">
      <c r="A2213" s="476" t="s">
        <v>3606</v>
      </c>
      <c r="B2213" s="481">
        <v>0.47638888888888892</v>
      </c>
    </row>
    <row r="2214" spans="1:2" hidden="1" x14ac:dyDescent="0.25">
      <c r="A2214" s="476" t="s">
        <v>3607</v>
      </c>
      <c r="B2214" s="481">
        <v>0.47638888888888892</v>
      </c>
    </row>
    <row r="2215" spans="1:2" hidden="1" x14ac:dyDescent="0.25">
      <c r="A2215" s="476" t="s">
        <v>3608</v>
      </c>
      <c r="B2215" s="481">
        <v>0.47638888888888892</v>
      </c>
    </row>
    <row r="2216" spans="1:2" hidden="1" x14ac:dyDescent="0.25">
      <c r="A2216" s="476" t="s">
        <v>3609</v>
      </c>
      <c r="B2216" s="481">
        <v>0.47638888888888892</v>
      </c>
    </row>
    <row r="2217" spans="1:2" hidden="1" x14ac:dyDescent="0.25">
      <c r="A2217" s="476" t="s">
        <v>3610</v>
      </c>
      <c r="B2217" s="481">
        <v>0.47638888888888892</v>
      </c>
    </row>
    <row r="2218" spans="1:2" hidden="1" x14ac:dyDescent="0.25">
      <c r="A2218" s="476" t="s">
        <v>3611</v>
      </c>
      <c r="B2218" s="481">
        <v>0.47638888888888892</v>
      </c>
    </row>
    <row r="2219" spans="1:2" hidden="1" x14ac:dyDescent="0.25">
      <c r="A2219" s="476" t="s">
        <v>3612</v>
      </c>
      <c r="B2219" s="481">
        <v>0.47638888888888892</v>
      </c>
    </row>
    <row r="2220" spans="1:2" hidden="1" x14ac:dyDescent="0.25">
      <c r="A2220" s="476" t="s">
        <v>3613</v>
      </c>
      <c r="B2220" s="481">
        <v>0.47638888888888892</v>
      </c>
    </row>
    <row r="2221" spans="1:2" hidden="1" x14ac:dyDescent="0.25">
      <c r="A2221" s="476" t="s">
        <v>3614</v>
      </c>
      <c r="B2221" s="481">
        <v>0.47638888888888892</v>
      </c>
    </row>
    <row r="2222" spans="1:2" hidden="1" x14ac:dyDescent="0.25">
      <c r="A2222" s="476" t="s">
        <v>3615</v>
      </c>
      <c r="B2222" s="481">
        <v>0.47638888888888892</v>
      </c>
    </row>
    <row r="2223" spans="1:2" hidden="1" x14ac:dyDescent="0.25">
      <c r="A2223" s="476" t="s">
        <v>3616</v>
      </c>
      <c r="B2223" s="481">
        <v>0.47638888888888892</v>
      </c>
    </row>
    <row r="2224" spans="1:2" hidden="1" x14ac:dyDescent="0.25">
      <c r="A2224" s="476" t="s">
        <v>3617</v>
      </c>
      <c r="B2224" s="481">
        <v>0.47638888888888892</v>
      </c>
    </row>
    <row r="2225" spans="1:2" hidden="1" x14ac:dyDescent="0.25">
      <c r="A2225" s="476" t="s">
        <v>3618</v>
      </c>
      <c r="B2225" s="481">
        <v>0.47638888888888892</v>
      </c>
    </row>
    <row r="2226" spans="1:2" hidden="1" x14ac:dyDescent="0.25">
      <c r="A2226" s="476" t="s">
        <v>3619</v>
      </c>
      <c r="B2226" s="481">
        <v>0.47638888888888892</v>
      </c>
    </row>
    <row r="2227" spans="1:2" hidden="1" x14ac:dyDescent="0.25">
      <c r="A2227" s="476" t="s">
        <v>3620</v>
      </c>
      <c r="B2227" s="481">
        <v>0.47638888888888892</v>
      </c>
    </row>
    <row r="2228" spans="1:2" hidden="1" x14ac:dyDescent="0.25">
      <c r="A2228" s="476" t="s">
        <v>3621</v>
      </c>
      <c r="B2228" s="481">
        <v>0.47638888888888892</v>
      </c>
    </row>
    <row r="2229" spans="1:2" hidden="1" x14ac:dyDescent="0.25">
      <c r="A2229" s="476" t="s">
        <v>3622</v>
      </c>
      <c r="B2229" s="481">
        <v>0.47638888888888892</v>
      </c>
    </row>
    <row r="2230" spans="1:2" hidden="1" x14ac:dyDescent="0.25">
      <c r="A2230" s="476" t="s">
        <v>3623</v>
      </c>
      <c r="B2230" s="481">
        <v>0.47569444444444442</v>
      </c>
    </row>
    <row r="2231" spans="1:2" hidden="1" x14ac:dyDescent="0.25">
      <c r="A2231" s="476" t="s">
        <v>3624</v>
      </c>
      <c r="B2231" s="481">
        <v>0.4770833333333333</v>
      </c>
    </row>
    <row r="2232" spans="1:2" hidden="1" x14ac:dyDescent="0.25">
      <c r="A2232" s="476" t="s">
        <v>3625</v>
      </c>
      <c r="B2232" s="481">
        <v>0.47569444444444442</v>
      </c>
    </row>
    <row r="2233" spans="1:2" hidden="1" x14ac:dyDescent="0.25">
      <c r="A2233" s="476" t="s">
        <v>3626</v>
      </c>
      <c r="B2233" s="481">
        <v>0.47638888888888892</v>
      </c>
    </row>
    <row r="2234" spans="1:2" hidden="1" x14ac:dyDescent="0.25">
      <c r="A2234" s="476" t="s">
        <v>3627</v>
      </c>
      <c r="B2234" s="481">
        <v>0.47638888888888892</v>
      </c>
    </row>
    <row r="2235" spans="1:2" hidden="1" x14ac:dyDescent="0.25">
      <c r="A2235" s="476" t="s">
        <v>3628</v>
      </c>
      <c r="B2235" s="481">
        <v>0.4770833333333333</v>
      </c>
    </row>
    <row r="2236" spans="1:2" hidden="1" x14ac:dyDescent="0.25">
      <c r="A2236" s="476" t="s">
        <v>3629</v>
      </c>
      <c r="B2236" s="481">
        <v>0.47638888888888892</v>
      </c>
    </row>
    <row r="2237" spans="1:2" hidden="1" x14ac:dyDescent="0.25">
      <c r="A2237" s="476" t="s">
        <v>3630</v>
      </c>
      <c r="B2237" s="481">
        <v>0.47638888888888892</v>
      </c>
    </row>
    <row r="2238" spans="1:2" hidden="1" x14ac:dyDescent="0.25">
      <c r="A2238" s="476" t="s">
        <v>3631</v>
      </c>
      <c r="B2238" s="481">
        <v>0.47638888888888892</v>
      </c>
    </row>
    <row r="2239" spans="1:2" hidden="1" x14ac:dyDescent="0.25">
      <c r="A2239" s="476" t="s">
        <v>3632</v>
      </c>
      <c r="B2239" s="481">
        <v>0.47638888888888892</v>
      </c>
    </row>
    <row r="2240" spans="1:2" hidden="1" x14ac:dyDescent="0.25">
      <c r="A2240" s="476" t="s">
        <v>3633</v>
      </c>
      <c r="B2240" s="481">
        <v>0.47638888888888892</v>
      </c>
    </row>
    <row r="2241" spans="1:2" hidden="1" x14ac:dyDescent="0.25">
      <c r="A2241" s="476" t="s">
        <v>3634</v>
      </c>
      <c r="B2241" s="481">
        <v>0.4770833333333333</v>
      </c>
    </row>
    <row r="2242" spans="1:2" hidden="1" x14ac:dyDescent="0.25">
      <c r="A2242" s="476" t="s">
        <v>3635</v>
      </c>
      <c r="B2242" s="481">
        <v>0.47638888888888892</v>
      </c>
    </row>
    <row r="2243" spans="1:2" hidden="1" x14ac:dyDescent="0.25">
      <c r="A2243" s="476" t="s">
        <v>3636</v>
      </c>
      <c r="B2243" s="481">
        <v>0.47638888888888892</v>
      </c>
    </row>
    <row r="2244" spans="1:2" hidden="1" x14ac:dyDescent="0.25">
      <c r="A2244" s="476" t="s">
        <v>3637</v>
      </c>
      <c r="B2244" s="481">
        <v>0.47638888888888892</v>
      </c>
    </row>
    <row r="2245" spans="1:2" hidden="1" x14ac:dyDescent="0.25">
      <c r="A2245" s="476" t="s">
        <v>3638</v>
      </c>
      <c r="B2245" s="481">
        <v>0.47638888888888892</v>
      </c>
    </row>
    <row r="2246" spans="1:2" hidden="1" x14ac:dyDescent="0.25">
      <c r="A2246" s="476" t="s">
        <v>3639</v>
      </c>
      <c r="B2246" s="481">
        <v>0.47638888888888892</v>
      </c>
    </row>
    <row r="2247" spans="1:2" hidden="1" x14ac:dyDescent="0.25">
      <c r="A2247" s="476" t="s">
        <v>3640</v>
      </c>
      <c r="B2247" s="481">
        <v>0.4770833333333333</v>
      </c>
    </row>
    <row r="2248" spans="1:2" hidden="1" x14ac:dyDescent="0.25">
      <c r="A2248" s="476" t="s">
        <v>3641</v>
      </c>
      <c r="B2248" s="481">
        <v>0.47638888888888892</v>
      </c>
    </row>
    <row r="2249" spans="1:2" hidden="1" x14ac:dyDescent="0.25">
      <c r="A2249" s="476" t="s">
        <v>3642</v>
      </c>
      <c r="B2249" s="481">
        <v>0.47638888888888892</v>
      </c>
    </row>
    <row r="2250" spans="1:2" hidden="1" x14ac:dyDescent="0.25">
      <c r="A2250" s="476" t="s">
        <v>3643</v>
      </c>
      <c r="B2250" s="481">
        <v>0.47638888888888892</v>
      </c>
    </row>
    <row r="2251" spans="1:2" hidden="1" x14ac:dyDescent="0.25">
      <c r="A2251" s="476" t="s">
        <v>3644</v>
      </c>
      <c r="B2251" s="481">
        <v>0.47638888888888892</v>
      </c>
    </row>
    <row r="2252" spans="1:2" hidden="1" x14ac:dyDescent="0.25">
      <c r="A2252" s="476" t="s">
        <v>3645</v>
      </c>
      <c r="B2252" s="481">
        <v>0.4770833333333333</v>
      </c>
    </row>
    <row r="2253" spans="1:2" hidden="1" x14ac:dyDescent="0.25">
      <c r="A2253" s="476" t="s">
        <v>3646</v>
      </c>
      <c r="B2253" s="481">
        <v>0.47638888888888892</v>
      </c>
    </row>
    <row r="2254" spans="1:2" hidden="1" x14ac:dyDescent="0.25">
      <c r="A2254" s="476" t="s">
        <v>3647</v>
      </c>
      <c r="B2254" s="481">
        <v>0.47638888888888892</v>
      </c>
    </row>
    <row r="2255" spans="1:2" hidden="1" x14ac:dyDescent="0.25">
      <c r="A2255" s="476" t="s">
        <v>3648</v>
      </c>
      <c r="B2255" s="481">
        <v>0.47638888888888892</v>
      </c>
    </row>
    <row r="2256" spans="1:2" hidden="1" x14ac:dyDescent="0.25">
      <c r="A2256" s="476" t="s">
        <v>3649</v>
      </c>
      <c r="B2256" s="481">
        <v>0.4770833333333333</v>
      </c>
    </row>
    <row r="2257" spans="1:2" hidden="1" x14ac:dyDescent="0.25">
      <c r="A2257" s="476" t="s">
        <v>3650</v>
      </c>
      <c r="B2257" s="481">
        <v>0.47638888888888892</v>
      </c>
    </row>
    <row r="2258" spans="1:2" hidden="1" x14ac:dyDescent="0.25">
      <c r="A2258" s="476" t="s">
        <v>3651</v>
      </c>
      <c r="B2258" s="481">
        <v>0.47638888888888892</v>
      </c>
    </row>
    <row r="2259" spans="1:2" hidden="1" x14ac:dyDescent="0.25">
      <c r="A2259" s="476" t="s">
        <v>3652</v>
      </c>
      <c r="B2259" s="481">
        <v>0.47638888888888892</v>
      </c>
    </row>
    <row r="2260" spans="1:2" hidden="1" x14ac:dyDescent="0.25">
      <c r="A2260" s="476" t="s">
        <v>3653</v>
      </c>
      <c r="B2260" s="481">
        <v>0.47638888888888892</v>
      </c>
    </row>
    <row r="2261" spans="1:2" hidden="1" x14ac:dyDescent="0.25">
      <c r="A2261" s="476" t="s">
        <v>3654</v>
      </c>
      <c r="B2261" s="481">
        <v>0.47638888888888892</v>
      </c>
    </row>
    <row r="2262" spans="1:2" hidden="1" x14ac:dyDescent="0.25">
      <c r="A2262" s="476" t="s">
        <v>3655</v>
      </c>
      <c r="B2262" s="481">
        <v>0.47638888888888892</v>
      </c>
    </row>
    <row r="2263" spans="1:2" hidden="1" x14ac:dyDescent="0.25">
      <c r="A2263" s="476" t="s">
        <v>3656</v>
      </c>
      <c r="B2263" s="481">
        <v>0.47638888888888892</v>
      </c>
    </row>
    <row r="2264" spans="1:2" hidden="1" x14ac:dyDescent="0.25">
      <c r="A2264" s="476" t="s">
        <v>3657</v>
      </c>
      <c r="B2264" s="481">
        <v>0.47638888888888892</v>
      </c>
    </row>
    <row r="2265" spans="1:2" hidden="1" x14ac:dyDescent="0.25">
      <c r="A2265" s="476" t="s">
        <v>3658</v>
      </c>
      <c r="B2265" s="481">
        <v>0.4770833333333333</v>
      </c>
    </row>
    <row r="2266" spans="1:2" hidden="1" x14ac:dyDescent="0.25">
      <c r="A2266" s="476" t="s">
        <v>3659</v>
      </c>
      <c r="B2266" s="481">
        <v>0.47638888888888892</v>
      </c>
    </row>
    <row r="2267" spans="1:2" hidden="1" x14ac:dyDescent="0.25">
      <c r="A2267" s="476" t="s">
        <v>3660</v>
      </c>
      <c r="B2267" s="481">
        <v>0.47638888888888892</v>
      </c>
    </row>
    <row r="2268" spans="1:2" hidden="1" x14ac:dyDescent="0.25">
      <c r="A2268" s="476" t="s">
        <v>3661</v>
      </c>
      <c r="B2268" s="481">
        <v>0.4770833333333333</v>
      </c>
    </row>
    <row r="2269" spans="1:2" hidden="1" x14ac:dyDescent="0.25">
      <c r="A2269" s="476" t="s">
        <v>3662</v>
      </c>
      <c r="B2269" s="481">
        <v>0.47638888888888892</v>
      </c>
    </row>
    <row r="2270" spans="1:2" hidden="1" x14ac:dyDescent="0.25">
      <c r="A2270" s="476" t="s">
        <v>3663</v>
      </c>
      <c r="B2270" s="481">
        <v>0.47638888888888892</v>
      </c>
    </row>
    <row r="2271" spans="1:2" hidden="1" x14ac:dyDescent="0.25">
      <c r="A2271" s="476" t="s">
        <v>3664</v>
      </c>
      <c r="B2271" s="481">
        <v>0.47638888888888892</v>
      </c>
    </row>
    <row r="2272" spans="1:2" hidden="1" x14ac:dyDescent="0.25">
      <c r="A2272" s="476" t="s">
        <v>3665</v>
      </c>
      <c r="B2272" s="481">
        <v>0.47638888888888892</v>
      </c>
    </row>
    <row r="2273" spans="1:2" hidden="1" x14ac:dyDescent="0.25">
      <c r="A2273" s="476" t="s">
        <v>3666</v>
      </c>
      <c r="B2273" s="481">
        <v>0.47638888888888892</v>
      </c>
    </row>
    <row r="2274" spans="1:2" hidden="1" x14ac:dyDescent="0.25">
      <c r="A2274" s="476" t="s">
        <v>3667</v>
      </c>
      <c r="B2274" s="481">
        <v>0.4770833333333333</v>
      </c>
    </row>
    <row r="2275" spans="1:2" hidden="1" x14ac:dyDescent="0.25">
      <c r="A2275" s="476" t="s">
        <v>3668</v>
      </c>
      <c r="B2275" s="481">
        <v>0.47638888888888892</v>
      </c>
    </row>
    <row r="2276" spans="1:2" hidden="1" x14ac:dyDescent="0.25">
      <c r="A2276" s="476" t="s">
        <v>3669</v>
      </c>
      <c r="B2276" s="481">
        <v>0.47638888888888892</v>
      </c>
    </row>
    <row r="2277" spans="1:2" hidden="1" x14ac:dyDescent="0.25">
      <c r="A2277" s="476" t="s">
        <v>3670</v>
      </c>
      <c r="B2277" s="481">
        <v>0.47638888888888892</v>
      </c>
    </row>
    <row r="2278" spans="1:2" hidden="1" x14ac:dyDescent="0.25">
      <c r="A2278" s="476" t="s">
        <v>3671</v>
      </c>
      <c r="B2278" s="481">
        <v>0.47638888888888892</v>
      </c>
    </row>
    <row r="2279" spans="1:2" hidden="1" x14ac:dyDescent="0.25">
      <c r="A2279" s="476" t="s">
        <v>3672</v>
      </c>
      <c r="B2279" s="481">
        <v>0.47638888888888892</v>
      </c>
    </row>
    <row r="2280" spans="1:2" hidden="1" x14ac:dyDescent="0.25">
      <c r="A2280" s="476" t="s">
        <v>3673</v>
      </c>
      <c r="B2280" s="481">
        <v>0.47638888888888892</v>
      </c>
    </row>
    <row r="2281" spans="1:2" hidden="1" x14ac:dyDescent="0.25">
      <c r="A2281" s="476" t="s">
        <v>3674</v>
      </c>
      <c r="B2281" s="481">
        <v>0.4770833333333333</v>
      </c>
    </row>
    <row r="2282" spans="1:2" hidden="1" x14ac:dyDescent="0.25">
      <c r="A2282" s="476" t="s">
        <v>3675</v>
      </c>
      <c r="B2282" s="481">
        <v>0.47638888888888892</v>
      </c>
    </row>
    <row r="2283" spans="1:2" hidden="1" x14ac:dyDescent="0.25">
      <c r="A2283" s="476" t="s">
        <v>3676</v>
      </c>
      <c r="B2283" s="481">
        <v>0.4770833333333333</v>
      </c>
    </row>
    <row r="2284" spans="1:2" hidden="1" x14ac:dyDescent="0.25">
      <c r="A2284" s="476" t="s">
        <v>3677</v>
      </c>
      <c r="B2284" s="481">
        <v>0.4770833333333333</v>
      </c>
    </row>
    <row r="2285" spans="1:2" hidden="1" x14ac:dyDescent="0.25">
      <c r="A2285" s="476" t="s">
        <v>3678</v>
      </c>
      <c r="B2285" s="481">
        <v>0.47638888888888892</v>
      </c>
    </row>
    <row r="2286" spans="1:2" hidden="1" x14ac:dyDescent="0.25">
      <c r="A2286" s="476" t="s">
        <v>3679</v>
      </c>
      <c r="B2286" s="481">
        <v>0.47638888888888892</v>
      </c>
    </row>
    <row r="2287" spans="1:2" hidden="1" x14ac:dyDescent="0.25">
      <c r="A2287" s="476" t="s">
        <v>3680</v>
      </c>
      <c r="B2287" s="481">
        <v>0.47638888888888892</v>
      </c>
    </row>
    <row r="2288" spans="1:2" hidden="1" x14ac:dyDescent="0.25">
      <c r="A2288" s="476" t="s">
        <v>3681</v>
      </c>
      <c r="B2288" s="481">
        <v>0.47638888888888892</v>
      </c>
    </row>
    <row r="2289" spans="1:2" hidden="1" x14ac:dyDescent="0.25">
      <c r="A2289" s="476" t="s">
        <v>3682</v>
      </c>
      <c r="B2289" s="481">
        <v>0.47638888888888892</v>
      </c>
    </row>
    <row r="2290" spans="1:2" ht="30" hidden="1" x14ac:dyDescent="0.25">
      <c r="A2290" s="476" t="s">
        <v>3683</v>
      </c>
      <c r="B2290" s="481">
        <v>0.47638888888888892</v>
      </c>
    </row>
    <row r="2291" spans="1:2" hidden="1" x14ac:dyDescent="0.25">
      <c r="A2291" s="476" t="s">
        <v>3684</v>
      </c>
      <c r="B2291" s="481">
        <v>0.47638888888888892</v>
      </c>
    </row>
    <row r="2292" spans="1:2" hidden="1" x14ac:dyDescent="0.25">
      <c r="A2292" s="476" t="s">
        <v>3685</v>
      </c>
      <c r="B2292" s="481">
        <v>0.47638888888888892</v>
      </c>
    </row>
    <row r="2293" spans="1:2" hidden="1" x14ac:dyDescent="0.25">
      <c r="A2293" s="476" t="s">
        <v>3686</v>
      </c>
      <c r="B2293" s="481">
        <v>0.47638888888888892</v>
      </c>
    </row>
    <row r="2294" spans="1:2" hidden="1" x14ac:dyDescent="0.25">
      <c r="A2294" s="476" t="s">
        <v>3687</v>
      </c>
      <c r="B2294" s="481">
        <v>0.47638888888888892</v>
      </c>
    </row>
    <row r="2295" spans="1:2" hidden="1" x14ac:dyDescent="0.25">
      <c r="A2295" s="476" t="s">
        <v>3688</v>
      </c>
      <c r="B2295" s="481">
        <v>0.47638888888888892</v>
      </c>
    </row>
    <row r="2296" spans="1:2" hidden="1" x14ac:dyDescent="0.25">
      <c r="A2296" s="476" t="s">
        <v>3689</v>
      </c>
      <c r="B2296" s="481">
        <v>0.47638888888888892</v>
      </c>
    </row>
    <row r="2297" spans="1:2" hidden="1" x14ac:dyDescent="0.25">
      <c r="A2297" s="476" t="s">
        <v>3690</v>
      </c>
      <c r="B2297" s="481">
        <v>0.47638888888888892</v>
      </c>
    </row>
    <row r="2298" spans="1:2" hidden="1" x14ac:dyDescent="0.25">
      <c r="A2298" s="476" t="s">
        <v>3691</v>
      </c>
      <c r="B2298" s="481">
        <v>0.47638888888888892</v>
      </c>
    </row>
    <row r="2299" spans="1:2" hidden="1" x14ac:dyDescent="0.25">
      <c r="A2299" s="476" t="s">
        <v>3692</v>
      </c>
      <c r="B2299" s="481">
        <v>0.47638888888888892</v>
      </c>
    </row>
    <row r="2300" spans="1:2" hidden="1" x14ac:dyDescent="0.25">
      <c r="A2300" s="476" t="s">
        <v>3693</v>
      </c>
      <c r="B2300" s="481">
        <v>0.4770833333333333</v>
      </c>
    </row>
    <row r="2301" spans="1:2" hidden="1" x14ac:dyDescent="0.25">
      <c r="A2301" s="476" t="s">
        <v>3694</v>
      </c>
      <c r="B2301" s="481">
        <v>0.47638888888888892</v>
      </c>
    </row>
    <row r="2302" spans="1:2" hidden="1" x14ac:dyDescent="0.25">
      <c r="A2302" s="476" t="s">
        <v>3695</v>
      </c>
      <c r="B2302" s="481">
        <v>0.4770833333333333</v>
      </c>
    </row>
    <row r="2303" spans="1:2" hidden="1" x14ac:dyDescent="0.25">
      <c r="A2303" s="476" t="s">
        <v>3696</v>
      </c>
      <c r="B2303" s="481">
        <v>0.4770833333333333</v>
      </c>
    </row>
    <row r="2304" spans="1:2" hidden="1" x14ac:dyDescent="0.25">
      <c r="A2304" s="476" t="s">
        <v>3697</v>
      </c>
      <c r="B2304" s="481">
        <v>0.47638888888888892</v>
      </c>
    </row>
    <row r="2305" spans="1:2" hidden="1" x14ac:dyDescent="0.25">
      <c r="A2305" s="476" t="s">
        <v>3698</v>
      </c>
      <c r="B2305" s="481">
        <v>0.4770833333333333</v>
      </c>
    </row>
    <row r="2306" spans="1:2" hidden="1" x14ac:dyDescent="0.25">
      <c r="A2306" s="476" t="s">
        <v>3699</v>
      </c>
      <c r="B2306" s="481">
        <v>0.4770833333333333</v>
      </c>
    </row>
    <row r="2307" spans="1:2" hidden="1" x14ac:dyDescent="0.25">
      <c r="A2307" s="476" t="s">
        <v>3700</v>
      </c>
      <c r="B2307" s="481">
        <v>0.47638888888888892</v>
      </c>
    </row>
    <row r="2308" spans="1:2" hidden="1" x14ac:dyDescent="0.25">
      <c r="A2308" s="476" t="s">
        <v>3701</v>
      </c>
      <c r="B2308" s="481">
        <v>0.47638888888888892</v>
      </c>
    </row>
    <row r="2309" spans="1:2" hidden="1" x14ac:dyDescent="0.25">
      <c r="A2309" s="476" t="s">
        <v>3702</v>
      </c>
      <c r="B2309" s="481">
        <v>0.4770833333333333</v>
      </c>
    </row>
    <row r="2310" spans="1:2" hidden="1" x14ac:dyDescent="0.25">
      <c r="A2310" s="476" t="s">
        <v>3703</v>
      </c>
      <c r="B2310" s="481">
        <v>0.47638888888888892</v>
      </c>
    </row>
    <row r="2311" spans="1:2" hidden="1" x14ac:dyDescent="0.25">
      <c r="A2311" s="476" t="s">
        <v>3704</v>
      </c>
      <c r="B2311" s="481">
        <v>0.47638888888888892</v>
      </c>
    </row>
    <row r="2312" spans="1:2" hidden="1" x14ac:dyDescent="0.25">
      <c r="A2312" s="476" t="s">
        <v>3705</v>
      </c>
      <c r="B2312" s="481">
        <v>0.47638888888888892</v>
      </c>
    </row>
    <row r="2313" spans="1:2" hidden="1" x14ac:dyDescent="0.25">
      <c r="A2313" s="476" t="s">
        <v>3706</v>
      </c>
      <c r="B2313" s="481">
        <v>0.47638888888888892</v>
      </c>
    </row>
    <row r="2314" spans="1:2" hidden="1" x14ac:dyDescent="0.25">
      <c r="A2314" s="476" t="s">
        <v>3707</v>
      </c>
      <c r="B2314" s="481">
        <v>0.47638888888888892</v>
      </c>
    </row>
    <row r="2315" spans="1:2" hidden="1" x14ac:dyDescent="0.25">
      <c r="A2315" s="476" t="s">
        <v>3708</v>
      </c>
      <c r="B2315" s="481">
        <v>0.47638888888888892</v>
      </c>
    </row>
    <row r="2316" spans="1:2" hidden="1" x14ac:dyDescent="0.25">
      <c r="A2316" s="476" t="s">
        <v>3709</v>
      </c>
      <c r="B2316" s="481">
        <v>0.47638888888888892</v>
      </c>
    </row>
    <row r="2317" spans="1:2" hidden="1" x14ac:dyDescent="0.25">
      <c r="A2317" s="476" t="s">
        <v>3710</v>
      </c>
      <c r="B2317" s="481">
        <v>0.47638888888888892</v>
      </c>
    </row>
    <row r="2318" spans="1:2" hidden="1" x14ac:dyDescent="0.25">
      <c r="A2318" s="476" t="s">
        <v>3711</v>
      </c>
      <c r="B2318" s="481">
        <v>0.47638888888888892</v>
      </c>
    </row>
    <row r="2319" spans="1:2" hidden="1" x14ac:dyDescent="0.25">
      <c r="A2319" s="476" t="s">
        <v>3712</v>
      </c>
      <c r="B2319" s="481">
        <v>0.47638888888888892</v>
      </c>
    </row>
    <row r="2320" spans="1:2" hidden="1" x14ac:dyDescent="0.25">
      <c r="A2320" s="476" t="s">
        <v>3713</v>
      </c>
      <c r="B2320" s="481">
        <v>0.47638888888888892</v>
      </c>
    </row>
    <row r="2321" spans="1:2" hidden="1" x14ac:dyDescent="0.25">
      <c r="A2321" s="476" t="s">
        <v>3714</v>
      </c>
      <c r="B2321" s="481">
        <v>0.47638888888888892</v>
      </c>
    </row>
    <row r="2322" spans="1:2" hidden="1" x14ac:dyDescent="0.25">
      <c r="A2322" s="476" t="s">
        <v>3715</v>
      </c>
      <c r="B2322" s="481">
        <v>0.47638888888888892</v>
      </c>
    </row>
    <row r="2323" spans="1:2" hidden="1" x14ac:dyDescent="0.25">
      <c r="A2323" s="476" t="s">
        <v>3716</v>
      </c>
      <c r="B2323" s="481">
        <v>0.47638888888888892</v>
      </c>
    </row>
    <row r="2324" spans="1:2" hidden="1" x14ac:dyDescent="0.25">
      <c r="A2324" s="476" t="s">
        <v>3717</v>
      </c>
      <c r="B2324" s="481">
        <v>0.47638888888888892</v>
      </c>
    </row>
    <row r="2325" spans="1:2" hidden="1" x14ac:dyDescent="0.25">
      <c r="A2325" s="476" t="s">
        <v>3718</v>
      </c>
      <c r="B2325" s="481">
        <v>0.4770833333333333</v>
      </c>
    </row>
    <row r="2326" spans="1:2" hidden="1" x14ac:dyDescent="0.25">
      <c r="A2326" s="476" t="s">
        <v>3719</v>
      </c>
      <c r="B2326" s="481">
        <v>0.47638888888888892</v>
      </c>
    </row>
    <row r="2327" spans="1:2" hidden="1" x14ac:dyDescent="0.25">
      <c r="A2327" s="476" t="s">
        <v>3720</v>
      </c>
      <c r="B2327" s="481">
        <v>0.47638888888888892</v>
      </c>
    </row>
    <row r="2328" spans="1:2" hidden="1" x14ac:dyDescent="0.25">
      <c r="A2328" s="476" t="s">
        <v>3721</v>
      </c>
      <c r="B2328" s="481">
        <v>0.47638888888888892</v>
      </c>
    </row>
    <row r="2329" spans="1:2" hidden="1" x14ac:dyDescent="0.25">
      <c r="A2329" s="476" t="s">
        <v>3722</v>
      </c>
      <c r="B2329" s="481">
        <v>0.47638888888888892</v>
      </c>
    </row>
    <row r="2330" spans="1:2" hidden="1" x14ac:dyDescent="0.25">
      <c r="A2330" s="476" t="s">
        <v>3723</v>
      </c>
      <c r="B2330" s="481">
        <v>0.47638888888888892</v>
      </c>
    </row>
    <row r="2331" spans="1:2" hidden="1" x14ac:dyDescent="0.25">
      <c r="A2331" s="476" t="s">
        <v>3724</v>
      </c>
      <c r="B2331" s="481">
        <v>0.47638888888888892</v>
      </c>
    </row>
    <row r="2332" spans="1:2" hidden="1" x14ac:dyDescent="0.25">
      <c r="A2332" s="476" t="s">
        <v>3725</v>
      </c>
      <c r="B2332" s="481">
        <v>0.47638888888888892</v>
      </c>
    </row>
    <row r="2333" spans="1:2" hidden="1" x14ac:dyDescent="0.25">
      <c r="A2333" s="476" t="s">
        <v>3726</v>
      </c>
      <c r="B2333" s="481">
        <v>0.47638888888888892</v>
      </c>
    </row>
    <row r="2334" spans="1:2" hidden="1" x14ac:dyDescent="0.25">
      <c r="A2334" s="476" t="s">
        <v>3727</v>
      </c>
      <c r="B2334" s="481">
        <v>0.47638888888888892</v>
      </c>
    </row>
    <row r="2335" spans="1:2" hidden="1" x14ac:dyDescent="0.25">
      <c r="A2335" s="476" t="s">
        <v>3728</v>
      </c>
      <c r="B2335" s="481">
        <v>0.4770833333333333</v>
      </c>
    </row>
    <row r="2336" spans="1:2" hidden="1" x14ac:dyDescent="0.25">
      <c r="A2336" s="476" t="s">
        <v>3729</v>
      </c>
      <c r="B2336" s="481">
        <v>0.47638888888888892</v>
      </c>
    </row>
    <row r="2337" spans="1:2" hidden="1" x14ac:dyDescent="0.25">
      <c r="A2337" s="476" t="s">
        <v>3730</v>
      </c>
      <c r="B2337" s="481">
        <v>0.4770833333333333</v>
      </c>
    </row>
    <row r="2338" spans="1:2" hidden="1" x14ac:dyDescent="0.25">
      <c r="A2338" s="476" t="s">
        <v>3731</v>
      </c>
      <c r="B2338" s="481">
        <v>0.47638888888888892</v>
      </c>
    </row>
    <row r="2339" spans="1:2" hidden="1" x14ac:dyDescent="0.25">
      <c r="A2339" s="476" t="s">
        <v>3732</v>
      </c>
      <c r="B2339" s="481">
        <v>0.47638888888888892</v>
      </c>
    </row>
    <row r="2340" spans="1:2" hidden="1" x14ac:dyDescent="0.25">
      <c r="A2340" s="476" t="s">
        <v>3733</v>
      </c>
      <c r="B2340" s="481">
        <v>0.47638888888888892</v>
      </c>
    </row>
    <row r="2341" spans="1:2" hidden="1" x14ac:dyDescent="0.25">
      <c r="A2341" s="476" t="s">
        <v>3734</v>
      </c>
      <c r="B2341" s="481">
        <v>0.47638888888888892</v>
      </c>
    </row>
    <row r="2342" spans="1:2" hidden="1" x14ac:dyDescent="0.25">
      <c r="A2342" s="476" t="s">
        <v>3735</v>
      </c>
      <c r="B2342" s="481">
        <v>0.47638888888888892</v>
      </c>
    </row>
    <row r="2343" spans="1:2" hidden="1" x14ac:dyDescent="0.25">
      <c r="A2343" s="476" t="s">
        <v>3736</v>
      </c>
      <c r="B2343" s="481">
        <v>0.47638888888888892</v>
      </c>
    </row>
    <row r="2344" spans="1:2" hidden="1" x14ac:dyDescent="0.25">
      <c r="A2344" s="476" t="s">
        <v>3737</v>
      </c>
      <c r="B2344" s="481">
        <v>0.47638888888888892</v>
      </c>
    </row>
    <row r="2345" spans="1:2" hidden="1" x14ac:dyDescent="0.25">
      <c r="A2345" s="476" t="s">
        <v>3738</v>
      </c>
      <c r="B2345" s="481">
        <v>0.47638888888888892</v>
      </c>
    </row>
    <row r="2346" spans="1:2" hidden="1" x14ac:dyDescent="0.25">
      <c r="A2346" s="476" t="s">
        <v>3739</v>
      </c>
      <c r="B2346" s="481">
        <v>0.47638888888888892</v>
      </c>
    </row>
    <row r="2347" spans="1:2" hidden="1" x14ac:dyDescent="0.25">
      <c r="A2347" s="476" t="s">
        <v>3740</v>
      </c>
      <c r="B2347" s="481">
        <v>0.4770833333333333</v>
      </c>
    </row>
    <row r="2348" spans="1:2" hidden="1" x14ac:dyDescent="0.25">
      <c r="A2348" s="476" t="s">
        <v>3741</v>
      </c>
      <c r="B2348" s="481">
        <v>0.47638888888888892</v>
      </c>
    </row>
    <row r="2349" spans="1:2" hidden="1" x14ac:dyDescent="0.25">
      <c r="A2349" s="476" t="s">
        <v>3742</v>
      </c>
      <c r="B2349" s="481">
        <v>0.47638888888888892</v>
      </c>
    </row>
    <row r="2350" spans="1:2" hidden="1" x14ac:dyDescent="0.25">
      <c r="A2350" s="476" t="s">
        <v>3743</v>
      </c>
      <c r="B2350" s="481">
        <v>0.47638888888888892</v>
      </c>
    </row>
    <row r="2351" spans="1:2" hidden="1" x14ac:dyDescent="0.25">
      <c r="A2351" s="476" t="s">
        <v>3744</v>
      </c>
      <c r="B2351" s="481">
        <v>0.47638888888888892</v>
      </c>
    </row>
    <row r="2352" spans="1:2" hidden="1" x14ac:dyDescent="0.25">
      <c r="A2352" s="476" t="s">
        <v>3745</v>
      </c>
      <c r="B2352" s="481">
        <v>0.47638888888888892</v>
      </c>
    </row>
    <row r="2353" spans="1:2" hidden="1" x14ac:dyDescent="0.25">
      <c r="A2353" s="476" t="s">
        <v>3746</v>
      </c>
      <c r="B2353" s="481">
        <v>0.47638888888888892</v>
      </c>
    </row>
    <row r="2354" spans="1:2" hidden="1" x14ac:dyDescent="0.25">
      <c r="A2354" s="476" t="s">
        <v>3747</v>
      </c>
      <c r="B2354" s="481">
        <v>0.47638888888888892</v>
      </c>
    </row>
    <row r="2355" spans="1:2" hidden="1" x14ac:dyDescent="0.25">
      <c r="A2355" s="476" t="s">
        <v>3748</v>
      </c>
      <c r="B2355" s="481">
        <v>0.47638888888888892</v>
      </c>
    </row>
    <row r="2356" spans="1:2" hidden="1" x14ac:dyDescent="0.25">
      <c r="A2356" s="476" t="s">
        <v>3749</v>
      </c>
      <c r="B2356" s="481">
        <v>0.47638888888888892</v>
      </c>
    </row>
    <row r="2357" spans="1:2" hidden="1" x14ac:dyDescent="0.25">
      <c r="A2357" s="476" t="s">
        <v>3750</v>
      </c>
      <c r="B2357" s="481">
        <v>0.47638888888888892</v>
      </c>
    </row>
    <row r="2358" spans="1:2" hidden="1" x14ac:dyDescent="0.25">
      <c r="A2358" s="476" t="s">
        <v>3751</v>
      </c>
      <c r="B2358" s="481">
        <v>0.47638888888888892</v>
      </c>
    </row>
    <row r="2359" spans="1:2" hidden="1" x14ac:dyDescent="0.25">
      <c r="A2359" s="476" t="s">
        <v>3752</v>
      </c>
      <c r="B2359" s="481">
        <v>0.47638888888888892</v>
      </c>
    </row>
    <row r="2360" spans="1:2" hidden="1" x14ac:dyDescent="0.25">
      <c r="A2360" s="476" t="s">
        <v>3753</v>
      </c>
      <c r="B2360" s="481">
        <v>0.4770833333333333</v>
      </c>
    </row>
    <row r="2361" spans="1:2" hidden="1" x14ac:dyDescent="0.25">
      <c r="A2361" s="476" t="s">
        <v>3754</v>
      </c>
      <c r="B2361" s="481">
        <v>0.47638888888888892</v>
      </c>
    </row>
    <row r="2362" spans="1:2" hidden="1" x14ac:dyDescent="0.25">
      <c r="A2362" s="476" t="s">
        <v>3755</v>
      </c>
      <c r="B2362" s="481">
        <v>0.47638888888888892</v>
      </c>
    </row>
    <row r="2363" spans="1:2" hidden="1" x14ac:dyDescent="0.25">
      <c r="A2363" s="476" t="s">
        <v>3756</v>
      </c>
      <c r="B2363" s="481">
        <v>0.47638888888888892</v>
      </c>
    </row>
    <row r="2364" spans="1:2" hidden="1" x14ac:dyDescent="0.25">
      <c r="A2364" s="476" t="s">
        <v>3757</v>
      </c>
      <c r="B2364" s="481">
        <v>0.47638888888888892</v>
      </c>
    </row>
    <row r="2365" spans="1:2" hidden="1" x14ac:dyDescent="0.25">
      <c r="A2365" s="476" t="s">
        <v>3758</v>
      </c>
      <c r="B2365" s="481">
        <v>0.47638888888888892</v>
      </c>
    </row>
    <row r="2366" spans="1:2" hidden="1" x14ac:dyDescent="0.25">
      <c r="A2366" s="476" t="s">
        <v>3759</v>
      </c>
      <c r="B2366" s="481">
        <v>0.47638888888888892</v>
      </c>
    </row>
    <row r="2367" spans="1:2" hidden="1" x14ac:dyDescent="0.25">
      <c r="A2367" s="476" t="s">
        <v>3760</v>
      </c>
      <c r="B2367" s="481">
        <v>0.4770833333333333</v>
      </c>
    </row>
    <row r="2368" spans="1:2" hidden="1" x14ac:dyDescent="0.25">
      <c r="A2368" s="476" t="s">
        <v>3761</v>
      </c>
      <c r="B2368" s="481">
        <v>0.47638888888888892</v>
      </c>
    </row>
    <row r="2369" spans="1:2" hidden="1" x14ac:dyDescent="0.25">
      <c r="A2369" s="476" t="s">
        <v>3762</v>
      </c>
      <c r="B2369" s="481">
        <v>0.47638888888888892</v>
      </c>
    </row>
    <row r="2370" spans="1:2" hidden="1" x14ac:dyDescent="0.25">
      <c r="A2370" s="476" t="s">
        <v>3763</v>
      </c>
      <c r="B2370" s="481">
        <v>0.47638888888888892</v>
      </c>
    </row>
    <row r="2371" spans="1:2" hidden="1" x14ac:dyDescent="0.25">
      <c r="A2371" s="476" t="s">
        <v>3764</v>
      </c>
      <c r="B2371" s="481">
        <v>0.47638888888888892</v>
      </c>
    </row>
    <row r="2372" spans="1:2" hidden="1" x14ac:dyDescent="0.25">
      <c r="A2372" s="476" t="s">
        <v>3765</v>
      </c>
      <c r="B2372" s="481">
        <v>0.4770833333333333</v>
      </c>
    </row>
    <row r="2373" spans="1:2" hidden="1" x14ac:dyDescent="0.25">
      <c r="A2373" s="476" t="s">
        <v>3766</v>
      </c>
      <c r="B2373" s="481">
        <v>0.47638888888888892</v>
      </c>
    </row>
    <row r="2374" spans="1:2" hidden="1" x14ac:dyDescent="0.25">
      <c r="A2374" s="476" t="s">
        <v>3767</v>
      </c>
      <c r="B2374" s="481">
        <v>0.47638888888888892</v>
      </c>
    </row>
    <row r="2375" spans="1:2" hidden="1" x14ac:dyDescent="0.25">
      <c r="A2375" s="476" t="s">
        <v>3768</v>
      </c>
      <c r="B2375" s="481">
        <v>0.47638888888888892</v>
      </c>
    </row>
    <row r="2376" spans="1:2" hidden="1" x14ac:dyDescent="0.25">
      <c r="A2376" s="476" t="s">
        <v>3769</v>
      </c>
      <c r="B2376" s="481">
        <v>0.47638888888888892</v>
      </c>
    </row>
    <row r="2377" spans="1:2" hidden="1" x14ac:dyDescent="0.25">
      <c r="A2377" s="476" t="s">
        <v>3770</v>
      </c>
      <c r="B2377" s="481">
        <v>0.47638888888888892</v>
      </c>
    </row>
    <row r="2378" spans="1:2" hidden="1" x14ac:dyDescent="0.25">
      <c r="A2378" s="476" t="s">
        <v>3771</v>
      </c>
      <c r="B2378" s="481">
        <v>0.4770833333333333</v>
      </c>
    </row>
    <row r="2379" spans="1:2" hidden="1" x14ac:dyDescent="0.25">
      <c r="A2379" s="476" t="s">
        <v>3772</v>
      </c>
      <c r="B2379" s="481">
        <v>0.47638888888888892</v>
      </c>
    </row>
    <row r="2380" spans="1:2" hidden="1" x14ac:dyDescent="0.25">
      <c r="A2380" s="476" t="s">
        <v>3773</v>
      </c>
      <c r="B2380" s="481">
        <v>0.47638888888888892</v>
      </c>
    </row>
    <row r="2381" spans="1:2" hidden="1" x14ac:dyDescent="0.25">
      <c r="A2381" s="476" t="s">
        <v>3774</v>
      </c>
      <c r="B2381" s="481">
        <v>0.4770833333333333</v>
      </c>
    </row>
    <row r="2382" spans="1:2" hidden="1" x14ac:dyDescent="0.25">
      <c r="A2382" s="476" t="s">
        <v>3775</v>
      </c>
      <c r="B2382" s="481">
        <v>0.47638888888888892</v>
      </c>
    </row>
    <row r="2383" spans="1:2" hidden="1" x14ac:dyDescent="0.25">
      <c r="A2383" s="476" t="s">
        <v>3776</v>
      </c>
      <c r="B2383" s="481">
        <v>0.47638888888888892</v>
      </c>
    </row>
    <row r="2384" spans="1:2" hidden="1" x14ac:dyDescent="0.25">
      <c r="A2384" s="476" t="s">
        <v>3777</v>
      </c>
      <c r="B2384" s="481">
        <v>0.47638888888888892</v>
      </c>
    </row>
    <row r="2385" spans="1:2" hidden="1" x14ac:dyDescent="0.25">
      <c r="A2385" s="476" t="s">
        <v>3778</v>
      </c>
      <c r="B2385" s="481">
        <v>0.47638888888888892</v>
      </c>
    </row>
    <row r="2386" spans="1:2" hidden="1" x14ac:dyDescent="0.25">
      <c r="A2386" s="476" t="s">
        <v>3779</v>
      </c>
      <c r="B2386" s="481">
        <v>0.47638888888888892</v>
      </c>
    </row>
    <row r="2387" spans="1:2" hidden="1" x14ac:dyDescent="0.25">
      <c r="A2387" s="476" t="s">
        <v>3780</v>
      </c>
      <c r="B2387" s="481">
        <v>0.47638888888888892</v>
      </c>
    </row>
    <row r="2388" spans="1:2" hidden="1" x14ac:dyDescent="0.25">
      <c r="A2388" s="476" t="s">
        <v>3781</v>
      </c>
      <c r="B2388" s="481">
        <v>0.47638888888888892</v>
      </c>
    </row>
    <row r="2389" spans="1:2" hidden="1" x14ac:dyDescent="0.25">
      <c r="A2389" s="476" t="s">
        <v>3782</v>
      </c>
      <c r="B2389" s="481">
        <v>0.47638888888888892</v>
      </c>
    </row>
    <row r="2390" spans="1:2" hidden="1" x14ac:dyDescent="0.25">
      <c r="A2390" s="476" t="s">
        <v>3783</v>
      </c>
      <c r="B2390" s="481">
        <v>0.47638888888888892</v>
      </c>
    </row>
    <row r="2391" spans="1:2" hidden="1" x14ac:dyDescent="0.25">
      <c r="A2391" s="476" t="s">
        <v>3784</v>
      </c>
      <c r="B2391" s="481">
        <v>0.47638888888888892</v>
      </c>
    </row>
    <row r="2392" spans="1:2" hidden="1" x14ac:dyDescent="0.25">
      <c r="A2392" s="476" t="s">
        <v>3785</v>
      </c>
      <c r="B2392" s="481">
        <v>0.4770833333333333</v>
      </c>
    </row>
    <row r="2393" spans="1:2" hidden="1" x14ac:dyDescent="0.25">
      <c r="A2393" s="476" t="s">
        <v>3786</v>
      </c>
      <c r="B2393" s="481">
        <v>0.47638888888888892</v>
      </c>
    </row>
    <row r="2394" spans="1:2" hidden="1" x14ac:dyDescent="0.25">
      <c r="A2394" s="476" t="s">
        <v>3787</v>
      </c>
      <c r="B2394" s="481">
        <v>0.4770833333333333</v>
      </c>
    </row>
    <row r="2395" spans="1:2" hidden="1" x14ac:dyDescent="0.25">
      <c r="A2395" s="476" t="s">
        <v>3788</v>
      </c>
      <c r="B2395" s="481">
        <v>0.47638888888888892</v>
      </c>
    </row>
    <row r="2396" spans="1:2" x14ac:dyDescent="0.25">
      <c r="B2396"/>
    </row>
    <row r="2397" spans="1:2" x14ac:dyDescent="0.25">
      <c r="B2397"/>
    </row>
    <row r="2398" spans="1:2" x14ac:dyDescent="0.25">
      <c r="B2398"/>
    </row>
    <row r="2399" spans="1:2" x14ac:dyDescent="0.25">
      <c r="B2399"/>
    </row>
    <row r="2400" spans="1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3"/>
  <dimension ref="B2:U26"/>
  <sheetViews>
    <sheetView showGridLines="0" zoomScale="85" zoomScaleNormal="85" workbookViewId="0">
      <selection activeCell="I4" sqref="I4"/>
    </sheetView>
  </sheetViews>
  <sheetFormatPr defaultColWidth="9.140625" defaultRowHeight="15" x14ac:dyDescent="0.25"/>
  <cols>
    <col min="1" max="1" width="2.140625" style="52" customWidth="1"/>
    <col min="2" max="2" width="3.7109375" style="52" customWidth="1"/>
    <col min="3" max="3" width="17.28515625" style="52" hidden="1" customWidth="1"/>
    <col min="4" max="4" width="47.140625" style="52" customWidth="1"/>
    <col min="5" max="5" width="8.85546875" style="52" customWidth="1"/>
    <col min="6" max="6" width="11.7109375" style="52" bestFit="1" customWidth="1"/>
    <col min="7" max="7" width="14.42578125" style="52" bestFit="1" customWidth="1"/>
    <col min="8" max="8" width="5" style="52" customWidth="1"/>
    <col min="9" max="9" width="29.42578125" style="52" bestFit="1" customWidth="1"/>
    <col min="10" max="10" width="8" style="52" bestFit="1" customWidth="1"/>
    <col min="11" max="12" width="12.85546875" style="52" bestFit="1" customWidth="1"/>
    <col min="13" max="13" width="7.28515625" style="52" bestFit="1" customWidth="1"/>
    <col min="14" max="14" width="9.5703125" style="52" bestFit="1" customWidth="1"/>
    <col min="15" max="15" width="19" style="52" bestFit="1" customWidth="1"/>
    <col min="16" max="16" width="11.5703125" style="52" customWidth="1"/>
    <col min="17" max="18" width="11.7109375" style="52" bestFit="1" customWidth="1"/>
    <col min="19" max="19" width="11.85546875" style="52" bestFit="1" customWidth="1"/>
    <col min="20" max="16384" width="9.140625" style="52"/>
  </cols>
  <sheetData>
    <row r="2" spans="3:21" ht="15" customHeight="1" x14ac:dyDescent="0.25">
      <c r="C2" s="655" t="s">
        <v>3789</v>
      </c>
      <c r="D2" s="655"/>
      <c r="E2" s="655"/>
      <c r="F2" s="655"/>
      <c r="G2" s="655"/>
      <c r="H2" s="655"/>
    </row>
    <row r="3" spans="3:21" ht="15" customHeight="1" x14ac:dyDescent="0.25">
      <c r="C3" s="655"/>
      <c r="D3" s="655"/>
      <c r="E3" s="655"/>
      <c r="F3" s="655"/>
      <c r="G3" s="655"/>
      <c r="H3" s="655"/>
    </row>
    <row r="4" spans="3:21" ht="15" customHeight="1" x14ac:dyDescent="0.25"/>
    <row r="5" spans="3:21" s="54" customFormat="1" ht="18.75" customHeight="1" x14ac:dyDescent="0.25">
      <c r="D5" s="377" t="s">
        <v>3790</v>
      </c>
      <c r="E5" s="663" t="str">
        <f>Tarifas!AC3</f>
        <v>CPFL Piratininga</v>
      </c>
      <c r="F5" s="663"/>
      <c r="G5" s="664"/>
      <c r="I5" s="660" t="s">
        <v>5167</v>
      </c>
      <c r="J5" s="661"/>
      <c r="K5" s="661"/>
      <c r="L5" s="661"/>
      <c r="M5" s="662"/>
      <c r="O5" s="647" t="s">
        <v>3791</v>
      </c>
      <c r="P5" s="647"/>
      <c r="Q5" s="647"/>
      <c r="R5" s="52"/>
      <c r="S5" s="52"/>
      <c r="T5" s="52"/>
      <c r="U5" s="52"/>
    </row>
    <row r="6" spans="3:21" s="54" customFormat="1" ht="18.75" customHeight="1" x14ac:dyDescent="0.25">
      <c r="D6" s="393" t="s">
        <v>671</v>
      </c>
      <c r="E6" s="394" t="s">
        <v>672</v>
      </c>
      <c r="F6" s="394" t="s">
        <v>673</v>
      </c>
      <c r="G6" s="395" t="s">
        <v>5168</v>
      </c>
      <c r="I6" s="667" t="s">
        <v>3792</v>
      </c>
      <c r="J6" s="657" t="s">
        <v>3793</v>
      </c>
      <c r="K6" s="658"/>
      <c r="L6" s="659"/>
      <c r="M6" s="656" t="s">
        <v>76</v>
      </c>
      <c r="O6" s="647"/>
      <c r="P6" s="647"/>
      <c r="Q6" s="647"/>
      <c r="R6" s="52"/>
      <c r="S6" s="52"/>
      <c r="T6" s="52"/>
      <c r="U6" s="52"/>
    </row>
    <row r="7" spans="3:21" ht="15" customHeight="1" x14ac:dyDescent="0.25">
      <c r="C7" s="386">
        <v>1</v>
      </c>
      <c r="D7" s="59" t="s">
        <v>679</v>
      </c>
      <c r="E7" s="622">
        <v>0</v>
      </c>
      <c r="F7" s="396">
        <v>0</v>
      </c>
      <c r="G7" s="397">
        <v>0</v>
      </c>
      <c r="I7" s="668"/>
      <c r="J7" s="609" t="s">
        <v>3795</v>
      </c>
      <c r="K7" s="384" t="s">
        <v>675</v>
      </c>
      <c r="L7" s="385" t="s">
        <v>676</v>
      </c>
      <c r="M7" s="656"/>
      <c r="O7" s="647"/>
      <c r="P7" s="647"/>
      <c r="Q7" s="647"/>
    </row>
    <row r="8" spans="3:21" ht="15" customHeight="1" thickBot="1" x14ac:dyDescent="0.3">
      <c r="C8" s="387">
        <v>2</v>
      </c>
      <c r="D8" s="62" t="s">
        <v>680</v>
      </c>
      <c r="E8" s="623">
        <f>Tarifas!AE6</f>
        <v>0</v>
      </c>
      <c r="F8" s="624">
        <f>Tarifas!AF6</f>
        <v>0</v>
      </c>
      <c r="G8" s="398">
        <f>Tarifas!AG6</f>
        <v>0</v>
      </c>
      <c r="I8" s="608">
        <f>Tarifas!Q5</f>
        <v>45748</v>
      </c>
      <c r="J8" s="610">
        <v>0</v>
      </c>
      <c r="K8" s="611">
        <f>Tarifas!Z5</f>
        <v>9.1000000000000004E-3</v>
      </c>
      <c r="L8" s="380">
        <f>Tarifas!AA5</f>
        <v>4.1799999999999997E-2</v>
      </c>
      <c r="M8" s="607">
        <f t="shared" ref="M8:M20" si="0">SUM(J8:L8)</f>
        <v>5.0900000000000001E-2</v>
      </c>
      <c r="O8" s="647"/>
      <c r="P8" s="647"/>
      <c r="Q8" s="647"/>
    </row>
    <row r="9" spans="3:21" ht="15" customHeight="1" x14ac:dyDescent="0.25">
      <c r="C9" s="387">
        <v>3</v>
      </c>
      <c r="D9" s="62" t="s">
        <v>681</v>
      </c>
      <c r="E9" s="623">
        <f>Tarifas!AE7</f>
        <v>396.71407648516771</v>
      </c>
      <c r="F9" s="624">
        <f>Tarifas!AF7</f>
        <v>284.07486</v>
      </c>
      <c r="G9" s="398">
        <f>Tarifas!AG7</f>
        <v>371.54</v>
      </c>
      <c r="I9" s="608">
        <f>Tarifas!Q6</f>
        <v>45717</v>
      </c>
      <c r="J9" s="612">
        <f t="shared" ref="J9:J19" si="1">$J$8</f>
        <v>0</v>
      </c>
      <c r="K9" s="611">
        <f>Tarifas!Z6</f>
        <v>8.9999999999999993E-3</v>
      </c>
      <c r="L9" s="380">
        <f>Tarifas!AA6</f>
        <v>4.1599999999999998E-2</v>
      </c>
      <c r="M9" s="607">
        <f t="shared" si="0"/>
        <v>5.0599999999999999E-2</v>
      </c>
      <c r="O9" s="647"/>
      <c r="P9" s="647"/>
      <c r="Q9" s="647"/>
    </row>
    <row r="10" spans="3:21" ht="15" customHeight="1" x14ac:dyDescent="0.25">
      <c r="C10" s="387">
        <v>4</v>
      </c>
      <c r="D10" s="62" t="s">
        <v>682</v>
      </c>
      <c r="E10" s="623">
        <f>Tarifas!AE8</f>
        <v>0</v>
      </c>
      <c r="F10" s="624">
        <f>Tarifas!AF8</f>
        <v>0</v>
      </c>
      <c r="G10" s="398">
        <f>Tarifas!AG8</f>
        <v>0</v>
      </c>
      <c r="I10" s="608">
        <f>Tarifas!Q7</f>
        <v>45689</v>
      </c>
      <c r="J10" s="612">
        <f t="shared" si="1"/>
        <v>0</v>
      </c>
      <c r="K10" s="611">
        <f>Tarifas!Z7</f>
        <v>7.6E-3</v>
      </c>
      <c r="L10" s="380">
        <f>Tarifas!AA7</f>
        <v>3.49E-2</v>
      </c>
      <c r="M10" s="607">
        <f t="shared" si="0"/>
        <v>4.2500000000000003E-2</v>
      </c>
      <c r="O10" s="647"/>
      <c r="P10" s="647"/>
      <c r="Q10" s="647"/>
    </row>
    <row r="11" spans="3:21" ht="15" customHeight="1" x14ac:dyDescent="0.25">
      <c r="C11" s="387">
        <v>5</v>
      </c>
      <c r="D11" s="62" t="s">
        <v>683</v>
      </c>
      <c r="E11" s="623">
        <f>Tarifas!AE9</f>
        <v>0</v>
      </c>
      <c r="F11" s="624">
        <f>Tarifas!AF9</f>
        <v>0</v>
      </c>
      <c r="G11" s="398">
        <f>Tarifas!AG9</f>
        <v>0</v>
      </c>
      <c r="I11" s="608">
        <f>Tarifas!Q8</f>
        <v>45658</v>
      </c>
      <c r="J11" s="612">
        <f t="shared" si="1"/>
        <v>0</v>
      </c>
      <c r="K11" s="611">
        <f>Tarifas!Z8</f>
        <v>6.1999999999999998E-3</v>
      </c>
      <c r="L11" s="380">
        <f>Tarifas!AA8</f>
        <v>2.8500000000000001E-2</v>
      </c>
      <c r="M11" s="607">
        <f t="shared" si="0"/>
        <v>3.4700000000000002E-2</v>
      </c>
      <c r="O11" s="647"/>
      <c r="P11" s="647"/>
      <c r="Q11" s="647"/>
    </row>
    <row r="12" spans="3:21" ht="15" customHeight="1" x14ac:dyDescent="0.25">
      <c r="C12" s="387">
        <v>6</v>
      </c>
      <c r="D12" s="62" t="s">
        <v>684</v>
      </c>
      <c r="E12" s="623">
        <f>Tarifas!AE10</f>
        <v>432.32275695080949</v>
      </c>
      <c r="F12" s="624">
        <f>Tarifas!AF10</f>
        <v>528.78484800000001</v>
      </c>
      <c r="G12" s="398">
        <f>Tarifas!AG10</f>
        <v>407.15</v>
      </c>
      <c r="I12" s="608">
        <f>Tarifas!Q9</f>
        <v>45627</v>
      </c>
      <c r="J12" s="612">
        <f t="shared" si="1"/>
        <v>0</v>
      </c>
      <c r="K12" s="611">
        <f>Tarifas!Z9</f>
        <v>6.8999999999999999E-3</v>
      </c>
      <c r="L12" s="380">
        <f>Tarifas!AA9</f>
        <v>3.1800000000000002E-2</v>
      </c>
      <c r="M12" s="607">
        <f t="shared" si="0"/>
        <v>3.8699999999999998E-2</v>
      </c>
      <c r="O12" s="647"/>
      <c r="P12" s="647"/>
      <c r="Q12" s="647"/>
    </row>
    <row r="13" spans="3:21" ht="15" customHeight="1" x14ac:dyDescent="0.25">
      <c r="C13" s="387">
        <v>7</v>
      </c>
      <c r="D13" s="62" t="s">
        <v>685</v>
      </c>
      <c r="E13" s="623">
        <f>Tarifas!AE11</f>
        <v>659.79887968285061</v>
      </c>
      <c r="F13" s="624">
        <f>Tarifas!AF11</f>
        <v>1343.1082809375</v>
      </c>
      <c r="G13" s="398">
        <f>Tarifas!AG11</f>
        <v>570.25</v>
      </c>
      <c r="I13" s="608">
        <f>Tarifas!Q10</f>
        <v>45597</v>
      </c>
      <c r="J13" s="612">
        <f t="shared" si="1"/>
        <v>0</v>
      </c>
      <c r="K13" s="611">
        <f>Tarifas!Z10</f>
        <v>8.9999999999999993E-3</v>
      </c>
      <c r="L13" s="380">
        <f>Tarifas!AA10</f>
        <v>4.1500000000000002E-2</v>
      </c>
      <c r="M13" s="607">
        <f t="shared" si="0"/>
        <v>5.0500000000000003E-2</v>
      </c>
      <c r="O13" s="647"/>
      <c r="P13" s="647"/>
      <c r="Q13" s="647"/>
    </row>
    <row r="14" spans="3:21" ht="15" customHeight="1" x14ac:dyDescent="0.25">
      <c r="C14" s="387">
        <v>8</v>
      </c>
      <c r="D14" s="62" t="s">
        <v>687</v>
      </c>
      <c r="E14" s="623">
        <f>Tarifas!AE12</f>
        <v>688.46330457527472</v>
      </c>
      <c r="F14" s="624">
        <f>Tarifas!AF12</f>
        <v>1463.6326194224998</v>
      </c>
      <c r="G14" s="398">
        <f>Tarifas!AG12</f>
        <v>589.01</v>
      </c>
      <c r="I14" s="608">
        <f>Tarifas!Q11</f>
        <v>45566</v>
      </c>
      <c r="J14" s="612">
        <f t="shared" si="1"/>
        <v>0</v>
      </c>
      <c r="K14" s="611">
        <f>Tarifas!Z11</f>
        <v>8.0000000000000002E-3</v>
      </c>
      <c r="L14" s="380">
        <f>Tarifas!AA11</f>
        <v>3.6799999999999999E-2</v>
      </c>
      <c r="M14" s="607">
        <f t="shared" si="0"/>
        <v>4.48E-2</v>
      </c>
      <c r="O14" s="648"/>
      <c r="P14" s="648"/>
      <c r="Q14" s="648"/>
    </row>
    <row r="15" spans="3:21" ht="15" customHeight="1" x14ac:dyDescent="0.25">
      <c r="C15" s="387">
        <v>9</v>
      </c>
      <c r="D15" s="62" t="s">
        <v>688</v>
      </c>
      <c r="E15" s="623">
        <f>Tarifas!AE13</f>
        <v>0</v>
      </c>
      <c r="F15" s="624">
        <f>Tarifas!AF13</f>
        <v>0</v>
      </c>
      <c r="G15" s="398">
        <f>Tarifas!AG13</f>
        <v>0</v>
      </c>
      <c r="I15" s="608">
        <f>Tarifas!Q12</f>
        <v>45536</v>
      </c>
      <c r="J15" s="612">
        <f t="shared" si="1"/>
        <v>0</v>
      </c>
      <c r="K15" s="611">
        <f>Tarifas!Z12</f>
        <v>8.8000000000000005E-3</v>
      </c>
      <c r="L15" s="380">
        <f>Tarifas!AA12</f>
        <v>4.0599999999999997E-2</v>
      </c>
      <c r="M15" s="607">
        <f t="shared" si="0"/>
        <v>4.9399999999999999E-2</v>
      </c>
    </row>
    <row r="16" spans="3:21" ht="15" customHeight="1" x14ac:dyDescent="0.25">
      <c r="C16" s="388">
        <v>10</v>
      </c>
      <c r="D16" s="65" t="s">
        <v>689</v>
      </c>
      <c r="E16" s="625">
        <f>Tarifas!AE14</f>
        <v>713.54868670537735</v>
      </c>
      <c r="F16" s="399">
        <f>Tarifas!AF14</f>
        <v>1569.107757105</v>
      </c>
      <c r="G16" s="400">
        <f>Tarifas!AG14</f>
        <v>605.43000000000006</v>
      </c>
      <c r="I16" s="608">
        <f>Tarifas!Q13</f>
        <v>45505</v>
      </c>
      <c r="J16" s="612">
        <f t="shared" si="1"/>
        <v>0</v>
      </c>
      <c r="K16" s="611">
        <f>Tarifas!Z13</f>
        <v>0.01</v>
      </c>
      <c r="L16" s="380">
        <f>Tarifas!AA13</f>
        <v>4.5699999999999998E-2</v>
      </c>
      <c r="M16" s="607">
        <f t="shared" si="0"/>
        <v>5.57E-2</v>
      </c>
    </row>
    <row r="17" spans="2:17" x14ac:dyDescent="0.25">
      <c r="C17" s="619">
        <v>4</v>
      </c>
      <c r="D17" s="620" t="s">
        <v>682</v>
      </c>
      <c r="E17" s="401">
        <f>SUMIF($C$7:$C$16,$C$17,$E$7:$E$16)</f>
        <v>0</v>
      </c>
      <c r="F17" s="401">
        <f>SUMIF($C$7:$C$16,$C$17,$F$7:$F$16)</f>
        <v>0</v>
      </c>
      <c r="G17" s="381">
        <f>SUMIF($C$7:$C$16,$C$17,$G$7:$G$16)</f>
        <v>0</v>
      </c>
      <c r="I17" s="608">
        <f>Tarifas!Q14</f>
        <v>45474</v>
      </c>
      <c r="J17" s="612">
        <f t="shared" si="1"/>
        <v>0</v>
      </c>
      <c r="K17" s="611">
        <f>Tarifas!Z14</f>
        <v>9.4999999999999998E-3</v>
      </c>
      <c r="L17" s="380">
        <f>Tarifas!AA14</f>
        <v>4.3700000000000003E-2</v>
      </c>
      <c r="M17" s="607">
        <f t="shared" si="0"/>
        <v>5.3200000000000004E-2</v>
      </c>
      <c r="O17" s="649" t="s">
        <v>3796</v>
      </c>
      <c r="P17" s="650"/>
      <c r="Q17" s="651"/>
    </row>
    <row r="18" spans="2:17" x14ac:dyDescent="0.25">
      <c r="B18" s="15"/>
      <c r="D18" s="600" t="s">
        <v>3800</v>
      </c>
      <c r="E18" s="382">
        <f>Tarifas!AE15</f>
        <v>3409</v>
      </c>
      <c r="F18" s="669">
        <f>Tarifas!AF15</f>
        <v>45587</v>
      </c>
      <c r="G18" s="670"/>
      <c r="I18" s="608">
        <f>Tarifas!Q15</f>
        <v>45444</v>
      </c>
      <c r="J18" s="612">
        <f t="shared" si="1"/>
        <v>0</v>
      </c>
      <c r="K18" s="611">
        <f>Tarifas!Z15</f>
        <v>8.5000000000000006E-3</v>
      </c>
      <c r="L18" s="380">
        <f>Tarifas!AA15</f>
        <v>3.9699999999999999E-2</v>
      </c>
      <c r="M18" s="607">
        <f t="shared" si="0"/>
        <v>4.82E-2</v>
      </c>
      <c r="O18" s="644" t="str">
        <f>IF(Tarifas!AD2="CPFL Paulista","SP",IF(Tarifas!AD2="CPFL Piratininga","SP",IF(Tarifas!AD2="RGE","RS",IF(Tarifas!AD2="CPFL Santa Cruz","SP/PR/MG"," "))))</f>
        <v>SP</v>
      </c>
      <c r="P18" s="645"/>
      <c r="Q18" s="646"/>
    </row>
    <row r="19" spans="2:17" x14ac:dyDescent="0.25">
      <c r="D19" s="600" t="s">
        <v>3801</v>
      </c>
      <c r="E19" s="383" t="s">
        <v>3802</v>
      </c>
      <c r="F19" s="665">
        <f>Tarifas!AF16</f>
        <v>0.75</v>
      </c>
      <c r="G19" s="666"/>
      <c r="I19" s="608">
        <f>Tarifas!Q16</f>
        <v>45413</v>
      </c>
      <c r="J19" s="612">
        <f t="shared" si="1"/>
        <v>0</v>
      </c>
      <c r="K19" s="611">
        <f>Tarifas!Z16</f>
        <v>8.8000000000000005E-3</v>
      </c>
      <c r="L19" s="380">
        <f>Tarifas!AA16</f>
        <v>4.07E-2</v>
      </c>
      <c r="M19" s="614">
        <f t="shared" si="0"/>
        <v>4.9500000000000002E-2</v>
      </c>
      <c r="O19" s="649" t="s">
        <v>3797</v>
      </c>
      <c r="P19" s="650"/>
      <c r="Q19" s="651"/>
    </row>
    <row r="20" spans="2:17" x14ac:dyDescent="0.25">
      <c r="D20" s="146" t="s">
        <v>3803</v>
      </c>
      <c r="E20" s="383" t="s">
        <v>3804</v>
      </c>
      <c r="F20" s="665">
        <v>0.15</v>
      </c>
      <c r="G20" s="666"/>
      <c r="I20" s="606" t="s">
        <v>5163</v>
      </c>
      <c r="J20" s="617">
        <f>AVERAGE(J8:J19)</f>
        <v>0</v>
      </c>
      <c r="K20" s="615">
        <f>AVERAGE(K8:K19)</f>
        <v>8.4499999999999992E-3</v>
      </c>
      <c r="L20" s="616">
        <f>AVERAGE(L8:L19)</f>
        <v>3.8941666666666673E-2</v>
      </c>
      <c r="M20" s="628">
        <f t="shared" si="0"/>
        <v>4.7391666666666672E-2</v>
      </c>
      <c r="O20" s="652" t="s">
        <v>696</v>
      </c>
      <c r="P20" s="653"/>
      <c r="Q20" s="654"/>
    </row>
    <row r="21" spans="2:17" x14ac:dyDescent="0.25">
      <c r="I21" s="412"/>
      <c r="J21"/>
      <c r="K21"/>
      <c r="L21" s="413"/>
      <c r="M21" s="378"/>
      <c r="O21" s="525" t="s">
        <v>3798</v>
      </c>
      <c r="P21" s="649" t="s">
        <v>3799</v>
      </c>
      <c r="Q21" s="651"/>
    </row>
    <row r="22" spans="2:17" x14ac:dyDescent="0.25">
      <c r="D22" s="649" t="s">
        <v>5170</v>
      </c>
      <c r="E22" s="650"/>
      <c r="F22" s="651"/>
      <c r="L22" s="413"/>
      <c r="M22" s="378"/>
      <c r="O22" s="488" t="str">
        <f>IFERROR(VLOOKUP(O20,'Utilização IP'!A2:C695,2,FALSE),"0,00")</f>
        <v>0,00</v>
      </c>
      <c r="P22" s="642" t="str">
        <f>IFERROR(VLOOKUP(O20,'Utilização IP'!A2:C695,3,FALSE),"0,00")</f>
        <v>0,00</v>
      </c>
      <c r="Q22" s="643"/>
    </row>
    <row r="23" spans="2:17" x14ac:dyDescent="0.25">
      <c r="D23" s="621" t="s">
        <v>5162</v>
      </c>
      <c r="E23" s="621" t="s">
        <v>5161</v>
      </c>
      <c r="F23" s="621" t="s">
        <v>4087</v>
      </c>
      <c r="L23" s="618"/>
      <c r="M23" s="379"/>
    </row>
    <row r="24" spans="2:17" x14ac:dyDescent="0.25">
      <c r="D24" s="105" t="s">
        <v>5866</v>
      </c>
      <c r="E24" s="613">
        <f>E17</f>
        <v>0</v>
      </c>
      <c r="F24" s="613">
        <f>(IFERROR(((E17)/(1-M20)),0))</f>
        <v>0</v>
      </c>
    </row>
    <row r="25" spans="2:17" x14ac:dyDescent="0.25">
      <c r="D25" s="105" t="s">
        <v>5867</v>
      </c>
      <c r="E25" s="613">
        <f>G17</f>
        <v>0</v>
      </c>
      <c r="F25" s="613">
        <f>(IFERROR(((G17)/(1-M20)),0))</f>
        <v>0</v>
      </c>
    </row>
    <row r="26" spans="2:17" x14ac:dyDescent="0.25">
      <c r="D26" s="105" t="s">
        <v>5868</v>
      </c>
      <c r="E26" s="613">
        <f>F17</f>
        <v>0</v>
      </c>
      <c r="F26" s="613">
        <f>(IFERROR(((F17)/(1-M20)),0))</f>
        <v>0</v>
      </c>
    </row>
  </sheetData>
  <sheetProtection algorithmName="SHA-512" hashValue="XdWovJ6eR4/i4JszXTFxl5xhHY9IjudZlo84jCQK1wLQSIt5xXJC31z2JnPf3D+5y88GycqVFHck6vaA1RkctQ==" saltValue="uYbLO+Ks2iupGkjY7RjulA==" spinCount="100000" sheet="1" objects="1" scenarios="1"/>
  <dataConsolidate/>
  <mergeCells count="17">
    <mergeCell ref="D22:F22"/>
    <mergeCell ref="C2:H3"/>
    <mergeCell ref="M6:M7"/>
    <mergeCell ref="J6:L6"/>
    <mergeCell ref="I5:M5"/>
    <mergeCell ref="E5:G5"/>
    <mergeCell ref="F20:G20"/>
    <mergeCell ref="I6:I7"/>
    <mergeCell ref="F19:G19"/>
    <mergeCell ref="F18:G18"/>
    <mergeCell ref="P22:Q22"/>
    <mergeCell ref="O18:Q18"/>
    <mergeCell ref="O5:Q14"/>
    <mergeCell ref="O17:Q17"/>
    <mergeCell ref="O20:Q20"/>
    <mergeCell ref="O19:Q19"/>
    <mergeCell ref="P21:Q21"/>
  </mergeCells>
  <dataValidations count="1">
    <dataValidation type="decimal" allowBlank="1" showInputMessage="1" showErrorMessage="1" errorTitle="Valor de ICMS não permite." error="Inserir valor númerico entre 1 e 50." sqref="J8" xr:uid="{00000000-0002-0000-0800-000000000000}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E6:F16 G8:G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Drop Down 1">
              <controlPr defaultSize="0" autoLine="0" autoPict="0">
                <anchor moveWithCells="1">
                  <from>
                    <xdr:col>1</xdr:col>
                    <xdr:colOff>247650</xdr:colOff>
                    <xdr:row>16</xdr:row>
                    <xdr:rowOff>0</xdr:rowOff>
                  </from>
                  <to>
                    <xdr:col>4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5" name="Drop Down 4">
              <controlPr defaultSize="0" autoLine="0" autoPict="0">
                <anchor moveWithCells="1">
                  <from>
                    <xdr:col>7</xdr:col>
                    <xdr:colOff>228600</xdr:colOff>
                    <xdr:row>1</xdr:row>
                    <xdr:rowOff>0</xdr:rowOff>
                  </from>
                  <to>
                    <xdr:col>11</xdr:col>
                    <xdr:colOff>533400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2D54A46-895B-4C84-8629-8533F85B3DA1}">
          <x14:formula1>
            <xm:f>IF(Tarifas!AD2="CPFL Paulista",'Cidades Concessão'!L:L,IF(Tarifas!AD2="CPFL Piratininga",'Cidades Concessão'!T:T,IF(Tarifas!AD2="CPFL Santa Cruz",'Cidades Concessão'!AB:AB,'Cidades Concessão'!D:D)))</xm:f>
          </x14:formula1>
          <xm:sqref>O20:Q20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B1:CV45"/>
  <sheetViews>
    <sheetView showGridLines="0" zoomScaleNormal="100" workbookViewId="0">
      <selection activeCell="A41" sqref="A41:XFD45"/>
    </sheetView>
  </sheetViews>
  <sheetFormatPr defaultColWidth="23.28515625" defaultRowHeight="15" x14ac:dyDescent="0.25"/>
  <sheetData>
    <row r="1" spans="2:100" ht="15.75" thickBot="1" x14ac:dyDescent="0.3"/>
    <row r="2" spans="2:100" ht="31.5" x14ac:dyDescent="0.25">
      <c r="B2" s="671" t="s">
        <v>5046</v>
      </c>
      <c r="C2" s="672"/>
      <c r="D2" s="673"/>
      <c r="E2" s="567"/>
      <c r="G2" s="671" t="s">
        <v>5047</v>
      </c>
      <c r="H2" s="672"/>
      <c r="I2" s="673"/>
      <c r="J2" s="567"/>
      <c r="L2" s="671" t="s">
        <v>5048</v>
      </c>
      <c r="M2" s="672"/>
      <c r="N2" s="673"/>
      <c r="O2" s="567"/>
      <c r="Q2" s="671" t="s">
        <v>5049</v>
      </c>
      <c r="R2" s="672"/>
      <c r="S2" s="673"/>
      <c r="T2" s="567"/>
      <c r="V2" s="671" t="s">
        <v>5050</v>
      </c>
      <c r="W2" s="672"/>
      <c r="X2" s="673"/>
      <c r="Y2" s="567"/>
      <c r="AA2" s="671" t="s">
        <v>5051</v>
      </c>
      <c r="AB2" s="672"/>
      <c r="AC2" s="673"/>
      <c r="AD2" s="567"/>
      <c r="AF2" s="671" t="s">
        <v>5052</v>
      </c>
      <c r="AG2" s="672"/>
      <c r="AH2" s="673"/>
      <c r="AI2" s="567"/>
      <c r="AK2" s="671" t="s">
        <v>5053</v>
      </c>
      <c r="AL2" s="672"/>
      <c r="AM2" s="673"/>
      <c r="AN2" s="567"/>
      <c r="AP2" s="671" t="s">
        <v>5054</v>
      </c>
      <c r="AQ2" s="672"/>
      <c r="AR2" s="673"/>
      <c r="AS2" s="567"/>
      <c r="AU2" s="671" t="s">
        <v>5056</v>
      </c>
      <c r="AV2" s="672"/>
      <c r="AW2" s="673"/>
      <c r="AX2" s="567"/>
      <c r="AZ2" s="671" t="s">
        <v>5055</v>
      </c>
      <c r="BA2" s="672"/>
      <c r="BB2" s="673"/>
      <c r="BC2" s="567"/>
      <c r="BE2" s="671" t="s">
        <v>5057</v>
      </c>
      <c r="BF2" s="672"/>
      <c r="BG2" s="673"/>
      <c r="BH2" s="567"/>
      <c r="BJ2" s="671" t="s">
        <v>5074</v>
      </c>
      <c r="BK2" s="672"/>
      <c r="BL2" s="673"/>
      <c r="BM2" s="567"/>
      <c r="BO2" s="671" t="s">
        <v>5058</v>
      </c>
      <c r="BP2" s="672"/>
      <c r="BQ2" s="673"/>
      <c r="BR2" s="567"/>
      <c r="BT2" s="671" t="s">
        <v>5059</v>
      </c>
      <c r="BU2" s="672"/>
      <c r="BV2" s="673"/>
      <c r="BW2" s="567"/>
      <c r="BY2" s="671" t="s">
        <v>5060</v>
      </c>
      <c r="BZ2" s="672"/>
      <c r="CA2" s="673"/>
      <c r="CB2" s="567"/>
      <c r="CD2" s="671" t="s">
        <v>5061</v>
      </c>
      <c r="CE2" s="672"/>
      <c r="CF2" s="673"/>
      <c r="CG2" s="567"/>
      <c r="CI2" s="671" t="s">
        <v>5062</v>
      </c>
      <c r="CJ2" s="672"/>
      <c r="CK2" s="673"/>
      <c r="CL2" s="567"/>
      <c r="CN2" s="671" t="s">
        <v>5063</v>
      </c>
      <c r="CO2" s="672"/>
      <c r="CP2" s="673"/>
      <c r="CQ2" s="567"/>
      <c r="CS2" s="671" t="s">
        <v>5064</v>
      </c>
      <c r="CT2" s="672"/>
      <c r="CU2" s="673"/>
      <c r="CV2" s="567"/>
    </row>
    <row r="3" spans="2:100" x14ac:dyDescent="0.25">
      <c r="B3" s="678" t="s">
        <v>5068</v>
      </c>
      <c r="C3" s="679"/>
      <c r="D3" s="680"/>
      <c r="E3" s="568"/>
      <c r="G3" s="675" t="s">
        <v>5068</v>
      </c>
      <c r="H3" s="676"/>
      <c r="I3" s="677"/>
      <c r="J3" s="568"/>
      <c r="L3" s="675" t="s">
        <v>5068</v>
      </c>
      <c r="M3" s="676"/>
      <c r="N3" s="677"/>
      <c r="O3" s="568"/>
      <c r="Q3" s="675" t="s">
        <v>5068</v>
      </c>
      <c r="R3" s="676"/>
      <c r="S3" s="677"/>
      <c r="T3" s="568"/>
      <c r="V3" s="675" t="s">
        <v>5068</v>
      </c>
      <c r="W3" s="676"/>
      <c r="X3" s="677"/>
      <c r="Y3" s="568"/>
      <c r="AA3" s="675" t="s">
        <v>5068</v>
      </c>
      <c r="AB3" s="676"/>
      <c r="AC3" s="677"/>
      <c r="AD3" s="568"/>
      <c r="AF3" s="675" t="s">
        <v>5068</v>
      </c>
      <c r="AG3" s="676"/>
      <c r="AH3" s="677"/>
      <c r="AI3" s="568"/>
      <c r="AK3" s="675" t="s">
        <v>5068</v>
      </c>
      <c r="AL3" s="676"/>
      <c r="AM3" s="677"/>
      <c r="AN3" s="568"/>
      <c r="AP3" s="675" t="s">
        <v>5068</v>
      </c>
      <c r="AQ3" s="676"/>
      <c r="AR3" s="677"/>
      <c r="AS3" s="568"/>
      <c r="AU3" s="675" t="s">
        <v>5068</v>
      </c>
      <c r="AV3" s="676"/>
      <c r="AW3" s="677"/>
      <c r="AX3" s="568"/>
      <c r="AZ3" s="675" t="s">
        <v>5068</v>
      </c>
      <c r="BA3" s="676"/>
      <c r="BB3" s="677"/>
      <c r="BC3" s="568"/>
      <c r="BE3" s="675" t="s">
        <v>5068</v>
      </c>
      <c r="BF3" s="676"/>
      <c r="BG3" s="677"/>
      <c r="BH3" s="568"/>
      <c r="BJ3" s="675" t="s">
        <v>5068</v>
      </c>
      <c r="BK3" s="676"/>
      <c r="BL3" s="677"/>
      <c r="BM3" s="568"/>
      <c r="BO3" s="675" t="s">
        <v>5068</v>
      </c>
      <c r="BP3" s="676"/>
      <c r="BQ3" s="677"/>
      <c r="BR3" s="568"/>
      <c r="BT3" s="675" t="s">
        <v>5068</v>
      </c>
      <c r="BU3" s="676"/>
      <c r="BV3" s="677"/>
      <c r="BW3" s="568"/>
      <c r="BY3" s="675" t="s">
        <v>5068</v>
      </c>
      <c r="BZ3" s="676"/>
      <c r="CA3" s="677"/>
      <c r="CB3" s="568"/>
      <c r="CD3" s="675" t="s">
        <v>5068</v>
      </c>
      <c r="CE3" s="676"/>
      <c r="CF3" s="677"/>
      <c r="CG3" s="568"/>
      <c r="CI3" s="675" t="s">
        <v>5068</v>
      </c>
      <c r="CJ3" s="676"/>
      <c r="CK3" s="677"/>
      <c r="CL3" s="568"/>
      <c r="CN3" s="675" t="s">
        <v>5068</v>
      </c>
      <c r="CO3" s="676"/>
      <c r="CP3" s="677"/>
      <c r="CQ3" s="568"/>
      <c r="CS3" s="675" t="s">
        <v>5068</v>
      </c>
      <c r="CT3" s="676"/>
      <c r="CU3" s="677"/>
      <c r="CV3" s="568"/>
    </row>
    <row r="4" spans="2:100" x14ac:dyDescent="0.25">
      <c r="B4" s="678" t="s">
        <v>5098</v>
      </c>
      <c r="C4" s="679"/>
      <c r="D4" s="680"/>
      <c r="E4" s="568"/>
      <c r="G4" s="675" t="s">
        <v>5098</v>
      </c>
      <c r="H4" s="676"/>
      <c r="I4" s="677"/>
      <c r="J4" s="568"/>
      <c r="L4" s="675" t="s">
        <v>5098</v>
      </c>
      <c r="M4" s="676"/>
      <c r="N4" s="677"/>
      <c r="O4" s="568"/>
      <c r="Q4" s="675" t="s">
        <v>5098</v>
      </c>
      <c r="R4" s="676"/>
      <c r="S4" s="677"/>
      <c r="T4" s="568"/>
      <c r="V4" s="675" t="s">
        <v>5098</v>
      </c>
      <c r="W4" s="676"/>
      <c r="X4" s="677"/>
      <c r="Y4" s="568"/>
      <c r="AA4" s="675" t="s">
        <v>5098</v>
      </c>
      <c r="AB4" s="676"/>
      <c r="AC4" s="677"/>
      <c r="AD4" s="568"/>
      <c r="AF4" s="675" t="s">
        <v>5098</v>
      </c>
      <c r="AG4" s="676"/>
      <c r="AH4" s="677"/>
      <c r="AI4" s="568"/>
      <c r="AK4" s="675" t="s">
        <v>5098</v>
      </c>
      <c r="AL4" s="676"/>
      <c r="AM4" s="677"/>
      <c r="AN4" s="568"/>
      <c r="AP4" s="675" t="s">
        <v>5098</v>
      </c>
      <c r="AQ4" s="676"/>
      <c r="AR4" s="677"/>
      <c r="AS4" s="568"/>
      <c r="AU4" s="675" t="s">
        <v>5098</v>
      </c>
      <c r="AV4" s="676"/>
      <c r="AW4" s="677"/>
      <c r="AX4" s="568"/>
      <c r="AZ4" s="675" t="s">
        <v>5098</v>
      </c>
      <c r="BA4" s="676"/>
      <c r="BB4" s="677"/>
      <c r="BC4" s="568"/>
      <c r="BE4" s="675" t="s">
        <v>5098</v>
      </c>
      <c r="BF4" s="676"/>
      <c r="BG4" s="677"/>
      <c r="BH4" s="568"/>
      <c r="BJ4" s="675" t="s">
        <v>5098</v>
      </c>
      <c r="BK4" s="676"/>
      <c r="BL4" s="677"/>
      <c r="BM4" s="568"/>
      <c r="BO4" s="675" t="s">
        <v>5098</v>
      </c>
      <c r="BP4" s="676"/>
      <c r="BQ4" s="677"/>
      <c r="BR4" s="568"/>
      <c r="BT4" s="675" t="s">
        <v>5098</v>
      </c>
      <c r="BU4" s="676"/>
      <c r="BV4" s="677"/>
      <c r="BW4" s="568"/>
      <c r="BY4" s="675" t="s">
        <v>5098</v>
      </c>
      <c r="BZ4" s="676"/>
      <c r="CA4" s="677"/>
      <c r="CB4" s="568"/>
      <c r="CD4" s="675" t="s">
        <v>5098</v>
      </c>
      <c r="CE4" s="676"/>
      <c r="CF4" s="677"/>
      <c r="CG4" s="568"/>
      <c r="CI4" s="675" t="s">
        <v>5098</v>
      </c>
      <c r="CJ4" s="676"/>
      <c r="CK4" s="677"/>
      <c r="CL4" s="568"/>
      <c r="CN4" s="675" t="s">
        <v>5098</v>
      </c>
      <c r="CO4" s="676"/>
      <c r="CP4" s="677"/>
      <c r="CQ4" s="568"/>
      <c r="CS4" s="675" t="s">
        <v>5098</v>
      </c>
      <c r="CT4" s="676"/>
      <c r="CU4" s="677"/>
      <c r="CV4" s="568"/>
    </row>
    <row r="5" spans="2:100" x14ac:dyDescent="0.25">
      <c r="B5" s="678" t="s">
        <v>5878</v>
      </c>
      <c r="C5" s="679"/>
      <c r="D5" s="680"/>
      <c r="E5" s="635">
        <v>0</v>
      </c>
      <c r="G5" s="675" t="s">
        <v>5878</v>
      </c>
      <c r="H5" s="676"/>
      <c r="I5" s="677"/>
      <c r="J5" s="635">
        <v>0</v>
      </c>
      <c r="L5" s="675" t="s">
        <v>5878</v>
      </c>
      <c r="M5" s="676"/>
      <c r="N5" s="677"/>
      <c r="O5" s="635">
        <v>0</v>
      </c>
      <c r="Q5" s="675" t="s">
        <v>5878</v>
      </c>
      <c r="R5" s="676"/>
      <c r="S5" s="677"/>
      <c r="T5" s="635">
        <v>0</v>
      </c>
      <c r="V5" s="675" t="s">
        <v>5878</v>
      </c>
      <c r="W5" s="676"/>
      <c r="X5" s="677"/>
      <c r="Y5" s="635">
        <v>0</v>
      </c>
      <c r="AA5" s="675" t="s">
        <v>5878</v>
      </c>
      <c r="AB5" s="676"/>
      <c r="AC5" s="677"/>
      <c r="AD5" s="635">
        <v>0</v>
      </c>
      <c r="AF5" s="675" t="s">
        <v>5878</v>
      </c>
      <c r="AG5" s="676"/>
      <c r="AH5" s="677"/>
      <c r="AI5" s="635">
        <v>0</v>
      </c>
      <c r="AK5" s="675" t="s">
        <v>5878</v>
      </c>
      <c r="AL5" s="676"/>
      <c r="AM5" s="677"/>
      <c r="AN5" s="635">
        <v>0</v>
      </c>
      <c r="AP5" s="675" t="s">
        <v>5878</v>
      </c>
      <c r="AQ5" s="676"/>
      <c r="AR5" s="677"/>
      <c r="AS5" s="635">
        <v>0</v>
      </c>
      <c r="AU5" s="675" t="s">
        <v>5878</v>
      </c>
      <c r="AV5" s="676"/>
      <c r="AW5" s="677"/>
      <c r="AX5" s="635">
        <v>0</v>
      </c>
      <c r="AZ5" s="675" t="s">
        <v>5878</v>
      </c>
      <c r="BA5" s="676"/>
      <c r="BB5" s="677"/>
      <c r="BC5" s="635">
        <v>0</v>
      </c>
      <c r="BE5" s="675" t="s">
        <v>5878</v>
      </c>
      <c r="BF5" s="676"/>
      <c r="BG5" s="677"/>
      <c r="BH5" s="635">
        <v>0</v>
      </c>
      <c r="BJ5" s="675" t="s">
        <v>5878</v>
      </c>
      <c r="BK5" s="676"/>
      <c r="BL5" s="677"/>
      <c r="BM5" s="635">
        <v>0</v>
      </c>
      <c r="BO5" s="675" t="s">
        <v>5878</v>
      </c>
      <c r="BP5" s="676"/>
      <c r="BQ5" s="677"/>
      <c r="BR5" s="635">
        <v>0</v>
      </c>
      <c r="BT5" s="675" t="s">
        <v>5878</v>
      </c>
      <c r="BU5" s="676"/>
      <c r="BV5" s="677"/>
      <c r="BW5" s="635">
        <v>0</v>
      </c>
      <c r="BY5" s="675" t="s">
        <v>5878</v>
      </c>
      <c r="BZ5" s="676"/>
      <c r="CA5" s="677"/>
      <c r="CB5" s="635">
        <v>0</v>
      </c>
      <c r="CD5" s="675" t="s">
        <v>5878</v>
      </c>
      <c r="CE5" s="676"/>
      <c r="CF5" s="677"/>
      <c r="CG5" s="635">
        <v>0</v>
      </c>
      <c r="CI5" s="675" t="s">
        <v>5878</v>
      </c>
      <c r="CJ5" s="676"/>
      <c r="CK5" s="677"/>
      <c r="CL5" s="635">
        <v>0</v>
      </c>
      <c r="CN5" s="675" t="s">
        <v>5878</v>
      </c>
      <c r="CO5" s="676"/>
      <c r="CP5" s="677"/>
      <c r="CQ5" s="635">
        <v>0</v>
      </c>
      <c r="CS5" s="675" t="s">
        <v>5878</v>
      </c>
      <c r="CT5" s="676"/>
      <c r="CU5" s="677"/>
      <c r="CV5" s="635">
        <v>0</v>
      </c>
    </row>
    <row r="6" spans="2:100" x14ac:dyDescent="0.25">
      <c r="B6" s="678" t="s">
        <v>5877</v>
      </c>
      <c r="C6" s="679"/>
      <c r="D6" s="680"/>
      <c r="E6" s="634">
        <v>0</v>
      </c>
      <c r="G6" s="675" t="s">
        <v>5877</v>
      </c>
      <c r="H6" s="676"/>
      <c r="I6" s="677"/>
      <c r="J6" s="634">
        <v>0</v>
      </c>
      <c r="L6" s="675" t="s">
        <v>5877</v>
      </c>
      <c r="M6" s="676"/>
      <c r="N6" s="677"/>
      <c r="O6" s="634">
        <v>0</v>
      </c>
      <c r="Q6" s="675" t="s">
        <v>5877</v>
      </c>
      <c r="R6" s="676"/>
      <c r="S6" s="677"/>
      <c r="T6" s="634">
        <v>0</v>
      </c>
      <c r="V6" s="675" t="s">
        <v>5877</v>
      </c>
      <c r="W6" s="676"/>
      <c r="X6" s="677"/>
      <c r="Y6" s="634">
        <v>0</v>
      </c>
      <c r="AA6" s="675" t="s">
        <v>5877</v>
      </c>
      <c r="AB6" s="676"/>
      <c r="AC6" s="677"/>
      <c r="AD6" s="634">
        <v>0</v>
      </c>
      <c r="AF6" s="675" t="s">
        <v>5877</v>
      </c>
      <c r="AG6" s="676"/>
      <c r="AH6" s="677"/>
      <c r="AI6" s="634">
        <v>0</v>
      </c>
      <c r="AK6" s="675" t="s">
        <v>5877</v>
      </c>
      <c r="AL6" s="676"/>
      <c r="AM6" s="677"/>
      <c r="AN6" s="634">
        <v>0</v>
      </c>
      <c r="AP6" s="675" t="s">
        <v>5877</v>
      </c>
      <c r="AQ6" s="676"/>
      <c r="AR6" s="677"/>
      <c r="AS6" s="634">
        <v>0</v>
      </c>
      <c r="AU6" s="675" t="s">
        <v>5877</v>
      </c>
      <c r="AV6" s="676"/>
      <c r="AW6" s="677"/>
      <c r="AX6" s="634">
        <v>0</v>
      </c>
      <c r="AZ6" s="675" t="s">
        <v>5877</v>
      </c>
      <c r="BA6" s="676"/>
      <c r="BB6" s="677"/>
      <c r="BC6" s="634">
        <v>0</v>
      </c>
      <c r="BE6" s="675" t="s">
        <v>5877</v>
      </c>
      <c r="BF6" s="676"/>
      <c r="BG6" s="677"/>
      <c r="BH6" s="634">
        <v>0</v>
      </c>
      <c r="BJ6" s="675" t="s">
        <v>5877</v>
      </c>
      <c r="BK6" s="676"/>
      <c r="BL6" s="677"/>
      <c r="BM6" s="634">
        <v>0</v>
      </c>
      <c r="BO6" s="675" t="s">
        <v>5877</v>
      </c>
      <c r="BP6" s="676"/>
      <c r="BQ6" s="677"/>
      <c r="BR6" s="634">
        <v>0</v>
      </c>
      <c r="BT6" s="675" t="s">
        <v>5877</v>
      </c>
      <c r="BU6" s="676"/>
      <c r="BV6" s="677"/>
      <c r="BW6" s="634">
        <v>0</v>
      </c>
      <c r="BY6" s="675" t="s">
        <v>5877</v>
      </c>
      <c r="BZ6" s="676"/>
      <c r="CA6" s="677"/>
      <c r="CB6" s="634">
        <v>0</v>
      </c>
      <c r="CD6" s="675" t="s">
        <v>5877</v>
      </c>
      <c r="CE6" s="676"/>
      <c r="CF6" s="677"/>
      <c r="CG6" s="634">
        <v>0</v>
      </c>
      <c r="CI6" s="675" t="s">
        <v>5877</v>
      </c>
      <c r="CJ6" s="676"/>
      <c r="CK6" s="677"/>
      <c r="CL6" s="634">
        <v>0</v>
      </c>
      <c r="CN6" s="675" t="s">
        <v>5877</v>
      </c>
      <c r="CO6" s="676"/>
      <c r="CP6" s="677"/>
      <c r="CQ6" s="634">
        <v>0</v>
      </c>
      <c r="CS6" s="675" t="s">
        <v>5877</v>
      </c>
      <c r="CT6" s="676"/>
      <c r="CU6" s="677"/>
      <c r="CV6" s="634">
        <v>0</v>
      </c>
    </row>
    <row r="7" spans="2:100" x14ac:dyDescent="0.25">
      <c r="B7" s="632"/>
      <c r="C7" s="632"/>
      <c r="D7" s="633"/>
      <c r="G7" s="632"/>
      <c r="H7" s="632"/>
      <c r="I7" s="633"/>
      <c r="L7" s="632"/>
      <c r="M7" s="632"/>
      <c r="N7" s="633"/>
      <c r="Q7" s="632"/>
      <c r="R7" s="632"/>
      <c r="S7" s="633"/>
      <c r="V7" s="632"/>
      <c r="W7" s="632"/>
      <c r="X7" s="633"/>
      <c r="AA7" s="632"/>
      <c r="AB7" s="632"/>
      <c r="AC7" s="633"/>
      <c r="AF7" s="632"/>
      <c r="AG7" s="632"/>
      <c r="AH7" s="633"/>
      <c r="AK7" s="632"/>
      <c r="AL7" s="632"/>
      <c r="AM7" s="633"/>
      <c r="AP7" s="632"/>
      <c r="AQ7" s="632"/>
      <c r="AR7" s="633"/>
      <c r="AU7" s="632"/>
      <c r="AV7" s="632"/>
      <c r="AW7" s="633"/>
      <c r="AZ7" s="632"/>
      <c r="BA7" s="632"/>
      <c r="BB7" s="633"/>
      <c r="BE7" s="632"/>
      <c r="BF7" s="632"/>
      <c r="BG7" s="633"/>
      <c r="BJ7" s="632"/>
      <c r="BK7" s="632"/>
      <c r="BL7" s="633"/>
      <c r="BO7" s="632"/>
      <c r="BP7" s="632"/>
      <c r="BQ7" s="633"/>
      <c r="BT7" s="632"/>
      <c r="BU7" s="632"/>
      <c r="BV7" s="633"/>
      <c r="BY7" s="632"/>
      <c r="BZ7" s="632"/>
      <c r="CA7" s="633"/>
      <c r="CD7" s="632"/>
      <c r="CE7" s="632"/>
      <c r="CF7" s="633"/>
      <c r="CI7" s="632"/>
      <c r="CJ7" s="632"/>
      <c r="CK7" s="633"/>
      <c r="CN7" s="632"/>
      <c r="CO7" s="632"/>
      <c r="CP7" s="633"/>
      <c r="CS7" s="632"/>
      <c r="CT7" s="632"/>
      <c r="CU7" s="633"/>
    </row>
    <row r="8" spans="2:100" x14ac:dyDescent="0.25">
      <c r="B8" s="674" t="s">
        <v>5069</v>
      </c>
      <c r="C8" s="674"/>
      <c r="D8" s="674"/>
      <c r="E8" s="674"/>
      <c r="G8" s="674" t="s">
        <v>5069</v>
      </c>
      <c r="H8" s="674"/>
      <c r="I8" s="674"/>
      <c r="J8" s="674"/>
      <c r="L8" s="674" t="s">
        <v>5069</v>
      </c>
      <c r="M8" s="674"/>
      <c r="N8" s="674"/>
      <c r="O8" s="674"/>
      <c r="Q8" s="674" t="s">
        <v>5069</v>
      </c>
      <c r="R8" s="674"/>
      <c r="S8" s="674"/>
      <c r="T8" s="674"/>
      <c r="V8" s="674" t="s">
        <v>5069</v>
      </c>
      <c r="W8" s="674"/>
      <c r="X8" s="674"/>
      <c r="Y8" s="674"/>
      <c r="AA8" s="674" t="s">
        <v>5069</v>
      </c>
      <c r="AB8" s="674"/>
      <c r="AC8" s="674"/>
      <c r="AD8" s="674"/>
      <c r="AF8" s="674" t="s">
        <v>5069</v>
      </c>
      <c r="AG8" s="674"/>
      <c r="AH8" s="674"/>
      <c r="AI8" s="674"/>
      <c r="AK8" s="674" t="s">
        <v>5069</v>
      </c>
      <c r="AL8" s="674"/>
      <c r="AM8" s="674"/>
      <c r="AN8" s="674"/>
      <c r="AP8" s="674" t="s">
        <v>5069</v>
      </c>
      <c r="AQ8" s="674"/>
      <c r="AR8" s="674"/>
      <c r="AS8" s="674"/>
      <c r="AU8" s="674" t="s">
        <v>5069</v>
      </c>
      <c r="AV8" s="674"/>
      <c r="AW8" s="674"/>
      <c r="AX8" s="674"/>
      <c r="AZ8" s="674" t="s">
        <v>5069</v>
      </c>
      <c r="BA8" s="674"/>
      <c r="BB8" s="674"/>
      <c r="BC8" s="674"/>
      <c r="BE8" s="674" t="s">
        <v>5069</v>
      </c>
      <c r="BF8" s="674"/>
      <c r="BG8" s="674"/>
      <c r="BH8" s="674"/>
      <c r="BJ8" s="674" t="s">
        <v>5069</v>
      </c>
      <c r="BK8" s="674"/>
      <c r="BL8" s="674"/>
      <c r="BM8" s="674"/>
      <c r="BO8" s="674" t="s">
        <v>5069</v>
      </c>
      <c r="BP8" s="674"/>
      <c r="BQ8" s="674"/>
      <c r="BR8" s="674"/>
      <c r="BT8" s="674" t="s">
        <v>5069</v>
      </c>
      <c r="BU8" s="674"/>
      <c r="BV8" s="674"/>
      <c r="BW8" s="674"/>
      <c r="BY8" s="674" t="s">
        <v>5069</v>
      </c>
      <c r="BZ8" s="674"/>
      <c r="CA8" s="674"/>
      <c r="CB8" s="674"/>
      <c r="CD8" s="674" t="s">
        <v>5069</v>
      </c>
      <c r="CE8" s="674"/>
      <c r="CF8" s="674"/>
      <c r="CG8" s="674"/>
      <c r="CI8" s="674" t="s">
        <v>5069</v>
      </c>
      <c r="CJ8" s="674"/>
      <c r="CK8" s="674"/>
      <c r="CL8" s="674"/>
      <c r="CN8" s="674" t="s">
        <v>5069</v>
      </c>
      <c r="CO8" s="674"/>
      <c r="CP8" s="674"/>
      <c r="CQ8" s="674"/>
      <c r="CS8" s="674" t="s">
        <v>5069</v>
      </c>
      <c r="CT8" s="674"/>
      <c r="CU8" s="674"/>
      <c r="CV8" s="674"/>
    </row>
    <row r="9" spans="2:100" x14ac:dyDescent="0.25">
      <c r="B9" s="630" t="s">
        <v>3805</v>
      </c>
      <c r="C9" s="630" t="s">
        <v>3806</v>
      </c>
      <c r="D9" s="631" t="s">
        <v>3807</v>
      </c>
      <c r="E9" s="631" t="s">
        <v>3808</v>
      </c>
      <c r="G9" s="630" t="s">
        <v>3805</v>
      </c>
      <c r="H9" s="630" t="s">
        <v>3806</v>
      </c>
      <c r="I9" s="631" t="s">
        <v>3807</v>
      </c>
      <c r="J9" s="631" t="s">
        <v>3808</v>
      </c>
      <c r="L9" s="630" t="s">
        <v>3805</v>
      </c>
      <c r="M9" s="630" t="s">
        <v>3806</v>
      </c>
      <c r="N9" s="631" t="s">
        <v>3807</v>
      </c>
      <c r="O9" s="631" t="s">
        <v>3808</v>
      </c>
      <c r="Q9" s="630" t="s">
        <v>3805</v>
      </c>
      <c r="R9" s="630" t="s">
        <v>3806</v>
      </c>
      <c r="S9" s="631" t="s">
        <v>3807</v>
      </c>
      <c r="T9" s="631" t="s">
        <v>3808</v>
      </c>
      <c r="V9" s="630" t="s">
        <v>3805</v>
      </c>
      <c r="W9" s="630" t="s">
        <v>3806</v>
      </c>
      <c r="X9" s="631" t="s">
        <v>3807</v>
      </c>
      <c r="Y9" s="631" t="s">
        <v>3808</v>
      </c>
      <c r="AA9" s="630" t="s">
        <v>3805</v>
      </c>
      <c r="AB9" s="630" t="s">
        <v>3806</v>
      </c>
      <c r="AC9" s="631" t="s">
        <v>3807</v>
      </c>
      <c r="AD9" s="631" t="s">
        <v>3808</v>
      </c>
      <c r="AF9" s="630" t="s">
        <v>3805</v>
      </c>
      <c r="AG9" s="630" t="s">
        <v>3806</v>
      </c>
      <c r="AH9" s="631" t="s">
        <v>3807</v>
      </c>
      <c r="AI9" s="631" t="s">
        <v>3808</v>
      </c>
      <c r="AK9" s="630" t="s">
        <v>3805</v>
      </c>
      <c r="AL9" s="630" t="s">
        <v>3806</v>
      </c>
      <c r="AM9" s="631" t="s">
        <v>3807</v>
      </c>
      <c r="AN9" s="631" t="s">
        <v>3808</v>
      </c>
      <c r="AP9" s="630" t="s">
        <v>3805</v>
      </c>
      <c r="AQ9" s="630" t="s">
        <v>3806</v>
      </c>
      <c r="AR9" s="631" t="s">
        <v>3807</v>
      </c>
      <c r="AS9" s="631" t="s">
        <v>3808</v>
      </c>
      <c r="AU9" s="630" t="s">
        <v>3805</v>
      </c>
      <c r="AV9" s="630" t="s">
        <v>3806</v>
      </c>
      <c r="AW9" s="631" t="s">
        <v>3807</v>
      </c>
      <c r="AX9" s="631" t="s">
        <v>3808</v>
      </c>
      <c r="AZ9" s="630" t="s">
        <v>3805</v>
      </c>
      <c r="BA9" s="630" t="s">
        <v>3806</v>
      </c>
      <c r="BB9" s="631" t="s">
        <v>3807</v>
      </c>
      <c r="BC9" s="631" t="s">
        <v>3808</v>
      </c>
      <c r="BE9" s="630" t="s">
        <v>3805</v>
      </c>
      <c r="BF9" s="630" t="s">
        <v>3806</v>
      </c>
      <c r="BG9" s="631" t="s">
        <v>3807</v>
      </c>
      <c r="BH9" s="631" t="s">
        <v>3808</v>
      </c>
      <c r="BJ9" s="630" t="s">
        <v>3805</v>
      </c>
      <c r="BK9" s="630" t="s">
        <v>3806</v>
      </c>
      <c r="BL9" s="631" t="s">
        <v>3807</v>
      </c>
      <c r="BM9" s="631" t="s">
        <v>3808</v>
      </c>
      <c r="BO9" s="630" t="s">
        <v>3805</v>
      </c>
      <c r="BP9" s="630" t="s">
        <v>3806</v>
      </c>
      <c r="BQ9" s="631" t="s">
        <v>3807</v>
      </c>
      <c r="BR9" s="631" t="s">
        <v>3808</v>
      </c>
      <c r="BT9" s="630" t="s">
        <v>3805</v>
      </c>
      <c r="BU9" s="630" t="s">
        <v>3806</v>
      </c>
      <c r="BV9" s="631" t="s">
        <v>3807</v>
      </c>
      <c r="BW9" s="631" t="s">
        <v>3808</v>
      </c>
      <c r="BY9" s="630" t="s">
        <v>3805</v>
      </c>
      <c r="BZ9" s="630" t="s">
        <v>3806</v>
      </c>
      <c r="CA9" s="631" t="s">
        <v>3807</v>
      </c>
      <c r="CB9" s="631" t="s">
        <v>3808</v>
      </c>
      <c r="CD9" s="630" t="s">
        <v>3805</v>
      </c>
      <c r="CE9" s="630" t="s">
        <v>3806</v>
      </c>
      <c r="CF9" s="631" t="s">
        <v>3807</v>
      </c>
      <c r="CG9" s="631" t="s">
        <v>3808</v>
      </c>
      <c r="CI9" s="630" t="s">
        <v>3805</v>
      </c>
      <c r="CJ9" s="630" t="s">
        <v>3806</v>
      </c>
      <c r="CK9" s="631" t="s">
        <v>3807</v>
      </c>
      <c r="CL9" s="631" t="s">
        <v>3808</v>
      </c>
      <c r="CN9" s="630" t="s">
        <v>3805</v>
      </c>
      <c r="CO9" s="630" t="s">
        <v>3806</v>
      </c>
      <c r="CP9" s="631" t="s">
        <v>3807</v>
      </c>
      <c r="CQ9" s="631" t="s">
        <v>3808</v>
      </c>
      <c r="CS9" s="630" t="s">
        <v>3805</v>
      </c>
      <c r="CT9" s="630" t="s">
        <v>3806</v>
      </c>
      <c r="CU9" s="631" t="s">
        <v>3807</v>
      </c>
      <c r="CV9" s="631" t="s">
        <v>3808</v>
      </c>
    </row>
    <row r="10" spans="2:100" x14ac:dyDescent="0.25">
      <c r="B10" s="440" t="s">
        <v>3809</v>
      </c>
      <c r="C10" s="422">
        <v>0</v>
      </c>
      <c r="D10" s="422">
        <v>0</v>
      </c>
      <c r="E10" s="106">
        <f>UCs!C10+UCs!D10</f>
        <v>0</v>
      </c>
      <c r="G10" s="440" t="s">
        <v>3809</v>
      </c>
      <c r="H10" s="422">
        <v>0</v>
      </c>
      <c r="I10" s="422">
        <v>0</v>
      </c>
      <c r="J10" s="106">
        <f>UCs!H10+UCs!I10</f>
        <v>0</v>
      </c>
      <c r="L10" s="440" t="s">
        <v>3809</v>
      </c>
      <c r="M10" s="422">
        <v>0</v>
      </c>
      <c r="N10" s="422">
        <v>0</v>
      </c>
      <c r="O10" s="106">
        <f>UCs!M10+UCs!N10</f>
        <v>0</v>
      </c>
      <c r="Q10" s="440" t="s">
        <v>3809</v>
      </c>
      <c r="R10" s="422">
        <v>0</v>
      </c>
      <c r="S10" s="422">
        <v>0</v>
      </c>
      <c r="T10" s="106">
        <f>UCs!R10+UCs!S10</f>
        <v>0</v>
      </c>
      <c r="V10" s="440" t="s">
        <v>3809</v>
      </c>
      <c r="W10" s="422">
        <v>0</v>
      </c>
      <c r="X10" s="422">
        <v>0</v>
      </c>
      <c r="Y10" s="106">
        <f>UCs!W10+UCs!X10</f>
        <v>0</v>
      </c>
      <c r="AA10" s="440" t="s">
        <v>3809</v>
      </c>
      <c r="AB10" s="422">
        <v>0</v>
      </c>
      <c r="AC10" s="422">
        <v>0</v>
      </c>
      <c r="AD10" s="106">
        <f>UCs!AB10+UCs!AC10</f>
        <v>0</v>
      </c>
      <c r="AF10" s="440" t="s">
        <v>3809</v>
      </c>
      <c r="AG10" s="422">
        <v>0</v>
      </c>
      <c r="AH10" s="422">
        <v>0</v>
      </c>
      <c r="AI10" s="106">
        <f>UCs!AG10+UCs!AH10</f>
        <v>0</v>
      </c>
      <c r="AK10" s="440" t="s">
        <v>3809</v>
      </c>
      <c r="AL10" s="422">
        <v>0</v>
      </c>
      <c r="AM10" s="422">
        <v>0</v>
      </c>
      <c r="AN10" s="106">
        <f>UCs!AL10+UCs!AM10</f>
        <v>0</v>
      </c>
      <c r="AP10" s="440" t="s">
        <v>3809</v>
      </c>
      <c r="AQ10" s="422">
        <v>0</v>
      </c>
      <c r="AR10" s="422">
        <v>0</v>
      </c>
      <c r="AS10" s="106">
        <f>UCs!AQ10+UCs!AR10</f>
        <v>0</v>
      </c>
      <c r="AU10" s="440" t="s">
        <v>3809</v>
      </c>
      <c r="AV10" s="422">
        <v>0</v>
      </c>
      <c r="AW10" s="422">
        <v>0</v>
      </c>
      <c r="AX10" s="106">
        <f>UCs!AV10+UCs!AW10</f>
        <v>0</v>
      </c>
      <c r="AZ10" s="440" t="s">
        <v>3809</v>
      </c>
      <c r="BA10" s="422">
        <v>0</v>
      </c>
      <c r="BB10" s="422">
        <v>0</v>
      </c>
      <c r="BC10" s="106">
        <f>UCs!BA10+UCs!BB10</f>
        <v>0</v>
      </c>
      <c r="BE10" s="440" t="s">
        <v>3809</v>
      </c>
      <c r="BF10" s="422">
        <v>0</v>
      </c>
      <c r="BG10" s="422">
        <v>0</v>
      </c>
      <c r="BH10" s="106">
        <f>UCs!BF10+UCs!BG10</f>
        <v>0</v>
      </c>
      <c r="BJ10" s="440" t="s">
        <v>3809</v>
      </c>
      <c r="BK10" s="422">
        <v>0</v>
      </c>
      <c r="BL10" s="422">
        <v>0</v>
      </c>
      <c r="BM10" s="106">
        <f>UCs!BK10+UCs!BL10</f>
        <v>0</v>
      </c>
      <c r="BO10" s="440" t="s">
        <v>3809</v>
      </c>
      <c r="BP10" s="422">
        <v>0</v>
      </c>
      <c r="BQ10" s="422">
        <v>0</v>
      </c>
      <c r="BR10" s="106">
        <f>UCs!BP10+UCs!BQ10</f>
        <v>0</v>
      </c>
      <c r="BT10" s="440" t="s">
        <v>3809</v>
      </c>
      <c r="BU10" s="422">
        <v>0</v>
      </c>
      <c r="BV10" s="422">
        <v>0</v>
      </c>
      <c r="BW10" s="106">
        <f>UCs!BU10+UCs!BV10</f>
        <v>0</v>
      </c>
      <c r="BY10" s="440" t="s">
        <v>3809</v>
      </c>
      <c r="BZ10" s="422">
        <v>0</v>
      </c>
      <c r="CA10" s="422">
        <v>0</v>
      </c>
      <c r="CB10" s="106">
        <f>UCs!BZ10+UCs!CA10</f>
        <v>0</v>
      </c>
      <c r="CD10" s="440" t="s">
        <v>3809</v>
      </c>
      <c r="CE10" s="422">
        <v>0</v>
      </c>
      <c r="CF10" s="422">
        <v>0</v>
      </c>
      <c r="CG10" s="106">
        <f>UCs!CE10+UCs!CF10</f>
        <v>0</v>
      </c>
      <c r="CI10" s="440" t="s">
        <v>3809</v>
      </c>
      <c r="CJ10" s="422">
        <v>0</v>
      </c>
      <c r="CK10" s="422">
        <v>0</v>
      </c>
      <c r="CL10" s="106">
        <f>UCs!CJ10+UCs!CK10</f>
        <v>0</v>
      </c>
      <c r="CN10" s="440" t="s">
        <v>3809</v>
      </c>
      <c r="CO10" s="422">
        <v>0</v>
      </c>
      <c r="CP10" s="422">
        <v>0</v>
      </c>
      <c r="CQ10" s="106">
        <f>UCs!CO10+UCs!CP10</f>
        <v>0</v>
      </c>
      <c r="CS10" s="440" t="s">
        <v>3809</v>
      </c>
      <c r="CT10" s="422">
        <v>0</v>
      </c>
      <c r="CU10" s="422">
        <v>0</v>
      </c>
      <c r="CV10" s="106">
        <f>UCs!CT10+UCs!CU10</f>
        <v>0</v>
      </c>
    </row>
    <row r="11" spans="2:100" x14ac:dyDescent="0.25">
      <c r="B11" s="440" t="s">
        <v>3810</v>
      </c>
      <c r="C11" s="422">
        <v>0</v>
      </c>
      <c r="D11" s="422">
        <v>0</v>
      </c>
      <c r="E11" s="106">
        <f>UCs!C11+UCs!D11</f>
        <v>0</v>
      </c>
      <c r="G11" s="440" t="s">
        <v>3810</v>
      </c>
      <c r="H11" s="422">
        <v>0</v>
      </c>
      <c r="I11" s="422">
        <v>0</v>
      </c>
      <c r="J11" s="106">
        <f>UCs!H11+UCs!I11</f>
        <v>0</v>
      </c>
      <c r="L11" s="440" t="s">
        <v>3810</v>
      </c>
      <c r="M11" s="422">
        <v>0</v>
      </c>
      <c r="N11" s="422">
        <v>0</v>
      </c>
      <c r="O11" s="106">
        <f>UCs!M11+UCs!N11</f>
        <v>0</v>
      </c>
      <c r="Q11" s="440" t="s">
        <v>3810</v>
      </c>
      <c r="R11" s="422">
        <v>0</v>
      </c>
      <c r="S11" s="422">
        <v>0</v>
      </c>
      <c r="T11" s="106">
        <f>UCs!R11+UCs!S11</f>
        <v>0</v>
      </c>
      <c r="V11" s="440" t="s">
        <v>3810</v>
      </c>
      <c r="W11" s="422">
        <v>0</v>
      </c>
      <c r="X11" s="422">
        <v>0</v>
      </c>
      <c r="Y11" s="106">
        <f>UCs!W11+UCs!X11</f>
        <v>0</v>
      </c>
      <c r="AA11" s="440" t="s">
        <v>3810</v>
      </c>
      <c r="AB11" s="422">
        <v>0</v>
      </c>
      <c r="AC11" s="422">
        <v>0</v>
      </c>
      <c r="AD11" s="106">
        <f>UCs!AB11+UCs!AC11</f>
        <v>0</v>
      </c>
      <c r="AF11" s="440" t="s">
        <v>3810</v>
      </c>
      <c r="AG11" s="422">
        <v>0</v>
      </c>
      <c r="AH11" s="422">
        <v>0</v>
      </c>
      <c r="AI11" s="106">
        <f>UCs!AG11+UCs!AH11</f>
        <v>0</v>
      </c>
      <c r="AK11" s="440" t="s">
        <v>3810</v>
      </c>
      <c r="AL11" s="422">
        <v>0</v>
      </c>
      <c r="AM11" s="422">
        <v>0</v>
      </c>
      <c r="AN11" s="106">
        <f>UCs!AL11+UCs!AM11</f>
        <v>0</v>
      </c>
      <c r="AP11" s="440" t="s">
        <v>3810</v>
      </c>
      <c r="AQ11" s="422">
        <v>0</v>
      </c>
      <c r="AR11" s="422">
        <v>0</v>
      </c>
      <c r="AS11" s="106">
        <f>UCs!AQ11+UCs!AR11</f>
        <v>0</v>
      </c>
      <c r="AU11" s="440" t="s">
        <v>3810</v>
      </c>
      <c r="AV11" s="422">
        <v>0</v>
      </c>
      <c r="AW11" s="422">
        <v>0</v>
      </c>
      <c r="AX11" s="106">
        <f>UCs!AV11+UCs!AW11</f>
        <v>0</v>
      </c>
      <c r="AZ11" s="440" t="s">
        <v>3810</v>
      </c>
      <c r="BA11" s="422">
        <v>0</v>
      </c>
      <c r="BB11" s="422">
        <v>0</v>
      </c>
      <c r="BC11" s="106">
        <f>UCs!BA11+UCs!BB11</f>
        <v>0</v>
      </c>
      <c r="BE11" s="440" t="s">
        <v>3810</v>
      </c>
      <c r="BF11" s="422">
        <v>0</v>
      </c>
      <c r="BG11" s="422">
        <v>0</v>
      </c>
      <c r="BH11" s="106">
        <f>UCs!BF11+UCs!BG11</f>
        <v>0</v>
      </c>
      <c r="BJ11" s="440" t="s">
        <v>3810</v>
      </c>
      <c r="BK11" s="422">
        <v>0</v>
      </c>
      <c r="BL11" s="422">
        <v>0</v>
      </c>
      <c r="BM11" s="106">
        <f>UCs!BK11+UCs!BL11</f>
        <v>0</v>
      </c>
      <c r="BO11" s="440" t="s">
        <v>3810</v>
      </c>
      <c r="BP11" s="422">
        <v>0</v>
      </c>
      <c r="BQ11" s="422">
        <v>0</v>
      </c>
      <c r="BR11" s="106">
        <f>UCs!BP11+UCs!BQ11</f>
        <v>0</v>
      </c>
      <c r="BT11" s="440" t="s">
        <v>3810</v>
      </c>
      <c r="BU11" s="422">
        <v>0</v>
      </c>
      <c r="BV11" s="422">
        <v>0</v>
      </c>
      <c r="BW11" s="106">
        <f>UCs!BU11+UCs!BV11</f>
        <v>0</v>
      </c>
      <c r="BY11" s="440" t="s">
        <v>3810</v>
      </c>
      <c r="BZ11" s="422">
        <v>0</v>
      </c>
      <c r="CA11" s="422">
        <v>0</v>
      </c>
      <c r="CB11" s="106">
        <f>UCs!BZ11+UCs!CA11</f>
        <v>0</v>
      </c>
      <c r="CD11" s="440" t="s">
        <v>3810</v>
      </c>
      <c r="CE11" s="422">
        <v>0</v>
      </c>
      <c r="CF11" s="422">
        <v>0</v>
      </c>
      <c r="CG11" s="106">
        <f>UCs!CE11+UCs!CF11</f>
        <v>0</v>
      </c>
      <c r="CI11" s="440" t="s">
        <v>3810</v>
      </c>
      <c r="CJ11" s="422">
        <v>0</v>
      </c>
      <c r="CK11" s="422">
        <v>0</v>
      </c>
      <c r="CL11" s="106">
        <f>UCs!CJ11+UCs!CK11</f>
        <v>0</v>
      </c>
      <c r="CN11" s="440" t="s">
        <v>3810</v>
      </c>
      <c r="CO11" s="422">
        <v>0</v>
      </c>
      <c r="CP11" s="422">
        <v>0</v>
      </c>
      <c r="CQ11" s="106">
        <f>UCs!CO11+UCs!CP11</f>
        <v>0</v>
      </c>
      <c r="CS11" s="440" t="s">
        <v>3810</v>
      </c>
      <c r="CT11" s="422">
        <v>0</v>
      </c>
      <c r="CU11" s="422">
        <v>0</v>
      </c>
      <c r="CV11" s="106">
        <f>UCs!CT11+UCs!CU11</f>
        <v>0</v>
      </c>
    </row>
    <row r="12" spans="2:100" x14ac:dyDescent="0.25">
      <c r="B12" s="440" t="s">
        <v>3811</v>
      </c>
      <c r="C12" s="422">
        <v>0</v>
      </c>
      <c r="D12" s="422">
        <v>0</v>
      </c>
      <c r="E12" s="106">
        <f>UCs!C12+UCs!D12</f>
        <v>0</v>
      </c>
      <c r="G12" s="440" t="s">
        <v>3811</v>
      </c>
      <c r="H12" s="422">
        <v>0</v>
      </c>
      <c r="I12" s="422">
        <v>0</v>
      </c>
      <c r="J12" s="106">
        <f>UCs!H12+UCs!I12</f>
        <v>0</v>
      </c>
      <c r="L12" s="440" t="s">
        <v>3811</v>
      </c>
      <c r="M12" s="422">
        <v>0</v>
      </c>
      <c r="N12" s="422">
        <v>0</v>
      </c>
      <c r="O12" s="106">
        <f>UCs!M12+UCs!N12</f>
        <v>0</v>
      </c>
      <c r="Q12" s="440" t="s">
        <v>3811</v>
      </c>
      <c r="R12" s="422">
        <v>0</v>
      </c>
      <c r="S12" s="422">
        <v>0</v>
      </c>
      <c r="T12" s="106">
        <f>UCs!R12+UCs!S12</f>
        <v>0</v>
      </c>
      <c r="V12" s="440" t="s">
        <v>3811</v>
      </c>
      <c r="W12" s="422">
        <v>0</v>
      </c>
      <c r="X12" s="422">
        <v>0</v>
      </c>
      <c r="Y12" s="106">
        <f>UCs!W12+UCs!X12</f>
        <v>0</v>
      </c>
      <c r="AA12" s="440" t="s">
        <v>3811</v>
      </c>
      <c r="AB12" s="422">
        <v>0</v>
      </c>
      <c r="AC12" s="422">
        <v>0</v>
      </c>
      <c r="AD12" s="106">
        <f>UCs!AB12+UCs!AC12</f>
        <v>0</v>
      </c>
      <c r="AF12" s="440" t="s">
        <v>3811</v>
      </c>
      <c r="AG12" s="422">
        <v>0</v>
      </c>
      <c r="AH12" s="422">
        <v>0</v>
      </c>
      <c r="AI12" s="106">
        <f>UCs!AG12+UCs!AH12</f>
        <v>0</v>
      </c>
      <c r="AK12" s="440" t="s">
        <v>3811</v>
      </c>
      <c r="AL12" s="422">
        <v>0</v>
      </c>
      <c r="AM12" s="422">
        <v>0</v>
      </c>
      <c r="AN12" s="106">
        <f>UCs!AL12+UCs!AM12</f>
        <v>0</v>
      </c>
      <c r="AP12" s="440" t="s">
        <v>3811</v>
      </c>
      <c r="AQ12" s="422">
        <v>0</v>
      </c>
      <c r="AR12" s="422">
        <v>0</v>
      </c>
      <c r="AS12" s="106">
        <f>UCs!AQ12+UCs!AR12</f>
        <v>0</v>
      </c>
      <c r="AU12" s="440" t="s">
        <v>3811</v>
      </c>
      <c r="AV12" s="422">
        <v>0</v>
      </c>
      <c r="AW12" s="422">
        <v>0</v>
      </c>
      <c r="AX12" s="106">
        <f>UCs!AV12+UCs!AW12</f>
        <v>0</v>
      </c>
      <c r="AZ12" s="440" t="s">
        <v>3811</v>
      </c>
      <c r="BA12" s="422">
        <v>0</v>
      </c>
      <c r="BB12" s="422">
        <v>0</v>
      </c>
      <c r="BC12" s="106">
        <f>UCs!BA12+UCs!BB12</f>
        <v>0</v>
      </c>
      <c r="BE12" s="440" t="s">
        <v>3811</v>
      </c>
      <c r="BF12" s="422">
        <v>0</v>
      </c>
      <c r="BG12" s="422">
        <v>0</v>
      </c>
      <c r="BH12" s="106">
        <f>UCs!BF12+UCs!BG12</f>
        <v>0</v>
      </c>
      <c r="BJ12" s="440" t="s">
        <v>3811</v>
      </c>
      <c r="BK12" s="422">
        <v>0</v>
      </c>
      <c r="BL12" s="422">
        <v>0</v>
      </c>
      <c r="BM12" s="106">
        <f>UCs!BK12+UCs!BL12</f>
        <v>0</v>
      </c>
      <c r="BO12" s="440" t="s">
        <v>3811</v>
      </c>
      <c r="BP12" s="422">
        <v>0</v>
      </c>
      <c r="BQ12" s="422">
        <v>0</v>
      </c>
      <c r="BR12" s="106">
        <f>UCs!BP12+UCs!BQ12</f>
        <v>0</v>
      </c>
      <c r="BT12" s="440" t="s">
        <v>3811</v>
      </c>
      <c r="BU12" s="422">
        <v>0</v>
      </c>
      <c r="BV12" s="422">
        <v>0</v>
      </c>
      <c r="BW12" s="106">
        <f>UCs!BU12+UCs!BV12</f>
        <v>0</v>
      </c>
      <c r="BY12" s="440" t="s">
        <v>3811</v>
      </c>
      <c r="BZ12" s="422">
        <v>0</v>
      </c>
      <c r="CA12" s="422">
        <v>0</v>
      </c>
      <c r="CB12" s="106">
        <f>UCs!BZ12+UCs!CA12</f>
        <v>0</v>
      </c>
      <c r="CD12" s="440" t="s">
        <v>3811</v>
      </c>
      <c r="CE12" s="422">
        <v>0</v>
      </c>
      <c r="CF12" s="422">
        <v>0</v>
      </c>
      <c r="CG12" s="106">
        <f>UCs!CE12+UCs!CF12</f>
        <v>0</v>
      </c>
      <c r="CI12" s="440" t="s">
        <v>3811</v>
      </c>
      <c r="CJ12" s="422">
        <v>0</v>
      </c>
      <c r="CK12" s="422">
        <v>0</v>
      </c>
      <c r="CL12" s="106">
        <f>UCs!CJ12+UCs!CK12</f>
        <v>0</v>
      </c>
      <c r="CN12" s="440" t="s">
        <v>3811</v>
      </c>
      <c r="CO12" s="422">
        <v>0</v>
      </c>
      <c r="CP12" s="422">
        <v>0</v>
      </c>
      <c r="CQ12" s="106">
        <f>UCs!CO12+UCs!CP12</f>
        <v>0</v>
      </c>
      <c r="CS12" s="440" t="s">
        <v>3811</v>
      </c>
      <c r="CT12" s="422">
        <v>0</v>
      </c>
      <c r="CU12" s="422">
        <v>0</v>
      </c>
      <c r="CV12" s="106">
        <f>UCs!CT12+UCs!CU12</f>
        <v>0</v>
      </c>
    </row>
    <row r="13" spans="2:100" x14ac:dyDescent="0.25">
      <c r="B13" s="440" t="s">
        <v>3812</v>
      </c>
      <c r="C13" s="422">
        <v>0</v>
      </c>
      <c r="D13" s="422">
        <v>0</v>
      </c>
      <c r="E13" s="106">
        <f>UCs!C13+UCs!D13</f>
        <v>0</v>
      </c>
      <c r="G13" s="440" t="s">
        <v>3812</v>
      </c>
      <c r="H13" s="422">
        <v>0</v>
      </c>
      <c r="I13" s="422">
        <v>0</v>
      </c>
      <c r="J13" s="106">
        <f>UCs!H13+UCs!I13</f>
        <v>0</v>
      </c>
      <c r="L13" s="440" t="s">
        <v>3812</v>
      </c>
      <c r="M13" s="422">
        <v>0</v>
      </c>
      <c r="N13" s="422">
        <v>0</v>
      </c>
      <c r="O13" s="106">
        <f>UCs!M13+UCs!N13</f>
        <v>0</v>
      </c>
      <c r="Q13" s="440" t="s">
        <v>3812</v>
      </c>
      <c r="R13" s="422">
        <v>0</v>
      </c>
      <c r="S13" s="422">
        <v>0</v>
      </c>
      <c r="T13" s="106">
        <f>UCs!R13+UCs!S13</f>
        <v>0</v>
      </c>
      <c r="V13" s="440" t="s">
        <v>3812</v>
      </c>
      <c r="W13" s="422">
        <v>0</v>
      </c>
      <c r="X13" s="422">
        <v>0</v>
      </c>
      <c r="Y13" s="106">
        <f>UCs!W13+UCs!X13</f>
        <v>0</v>
      </c>
      <c r="AA13" s="440" t="s">
        <v>3812</v>
      </c>
      <c r="AB13" s="422">
        <v>0</v>
      </c>
      <c r="AC13" s="422">
        <v>0</v>
      </c>
      <c r="AD13" s="106">
        <f>UCs!AB13+UCs!AC13</f>
        <v>0</v>
      </c>
      <c r="AF13" s="440" t="s">
        <v>3812</v>
      </c>
      <c r="AG13" s="422">
        <v>0</v>
      </c>
      <c r="AH13" s="422">
        <v>0</v>
      </c>
      <c r="AI13" s="106">
        <f>UCs!AG13+UCs!AH13</f>
        <v>0</v>
      </c>
      <c r="AK13" s="440" t="s">
        <v>3812</v>
      </c>
      <c r="AL13" s="422">
        <v>0</v>
      </c>
      <c r="AM13" s="422">
        <v>0</v>
      </c>
      <c r="AN13" s="106">
        <f>UCs!AL13+UCs!AM13</f>
        <v>0</v>
      </c>
      <c r="AP13" s="440" t="s">
        <v>3812</v>
      </c>
      <c r="AQ13" s="422">
        <v>0</v>
      </c>
      <c r="AR13" s="422">
        <v>0</v>
      </c>
      <c r="AS13" s="106">
        <f>UCs!AQ13+UCs!AR13</f>
        <v>0</v>
      </c>
      <c r="AU13" s="440" t="s">
        <v>3812</v>
      </c>
      <c r="AV13" s="422">
        <v>0</v>
      </c>
      <c r="AW13" s="422">
        <v>0</v>
      </c>
      <c r="AX13" s="106">
        <f>UCs!AV13+UCs!AW13</f>
        <v>0</v>
      </c>
      <c r="AZ13" s="440" t="s">
        <v>3812</v>
      </c>
      <c r="BA13" s="422">
        <v>0</v>
      </c>
      <c r="BB13" s="422">
        <v>0</v>
      </c>
      <c r="BC13" s="106">
        <f>UCs!BA13+UCs!BB13</f>
        <v>0</v>
      </c>
      <c r="BE13" s="440" t="s">
        <v>3812</v>
      </c>
      <c r="BF13" s="422">
        <v>0</v>
      </c>
      <c r="BG13" s="422">
        <v>0</v>
      </c>
      <c r="BH13" s="106">
        <f>UCs!BF13+UCs!BG13</f>
        <v>0</v>
      </c>
      <c r="BJ13" s="440" t="s">
        <v>3812</v>
      </c>
      <c r="BK13" s="422">
        <v>0</v>
      </c>
      <c r="BL13" s="422">
        <v>0</v>
      </c>
      <c r="BM13" s="106">
        <f>UCs!BK13+UCs!BL13</f>
        <v>0</v>
      </c>
      <c r="BO13" s="440" t="s">
        <v>3812</v>
      </c>
      <c r="BP13" s="422">
        <v>0</v>
      </c>
      <c r="BQ13" s="422">
        <v>0</v>
      </c>
      <c r="BR13" s="106">
        <f>UCs!BP13+UCs!BQ13</f>
        <v>0</v>
      </c>
      <c r="BT13" s="440" t="s">
        <v>3812</v>
      </c>
      <c r="BU13" s="422">
        <v>0</v>
      </c>
      <c r="BV13" s="422">
        <v>0</v>
      </c>
      <c r="BW13" s="106">
        <f>UCs!BU13+UCs!BV13</f>
        <v>0</v>
      </c>
      <c r="BY13" s="440" t="s">
        <v>3812</v>
      </c>
      <c r="BZ13" s="422">
        <v>0</v>
      </c>
      <c r="CA13" s="422">
        <v>0</v>
      </c>
      <c r="CB13" s="106">
        <f>UCs!BZ13+UCs!CA13</f>
        <v>0</v>
      </c>
      <c r="CD13" s="440" t="s">
        <v>3812</v>
      </c>
      <c r="CE13" s="422">
        <v>0</v>
      </c>
      <c r="CF13" s="422">
        <v>0</v>
      </c>
      <c r="CG13" s="106">
        <f>UCs!CE13+UCs!CF13</f>
        <v>0</v>
      </c>
      <c r="CI13" s="440" t="s">
        <v>3812</v>
      </c>
      <c r="CJ13" s="422">
        <v>0</v>
      </c>
      <c r="CK13" s="422">
        <v>0</v>
      </c>
      <c r="CL13" s="106">
        <f>UCs!CJ13+UCs!CK13</f>
        <v>0</v>
      </c>
      <c r="CN13" s="440" t="s">
        <v>3812</v>
      </c>
      <c r="CO13" s="422">
        <v>0</v>
      </c>
      <c r="CP13" s="422">
        <v>0</v>
      </c>
      <c r="CQ13" s="106">
        <f>UCs!CO13+UCs!CP13</f>
        <v>0</v>
      </c>
      <c r="CS13" s="440" t="s">
        <v>3812</v>
      </c>
      <c r="CT13" s="422">
        <v>0</v>
      </c>
      <c r="CU13" s="422">
        <v>0</v>
      </c>
      <c r="CV13" s="106">
        <f>UCs!CT13+UCs!CU13</f>
        <v>0</v>
      </c>
    </row>
    <row r="14" spans="2:100" x14ac:dyDescent="0.25">
      <c r="B14" s="440" t="s">
        <v>3813</v>
      </c>
      <c r="C14" s="422">
        <v>0</v>
      </c>
      <c r="D14" s="422">
        <v>0</v>
      </c>
      <c r="E14" s="106">
        <f>UCs!C14+UCs!D14</f>
        <v>0</v>
      </c>
      <c r="G14" s="440" t="s">
        <v>3813</v>
      </c>
      <c r="H14" s="422">
        <v>0</v>
      </c>
      <c r="I14" s="422">
        <v>0</v>
      </c>
      <c r="J14" s="106">
        <f>UCs!H14+UCs!I14</f>
        <v>0</v>
      </c>
      <c r="L14" s="440" t="s">
        <v>3813</v>
      </c>
      <c r="M14" s="422">
        <v>0</v>
      </c>
      <c r="N14" s="422">
        <v>0</v>
      </c>
      <c r="O14" s="106">
        <f>UCs!M14+UCs!N14</f>
        <v>0</v>
      </c>
      <c r="Q14" s="440" t="s">
        <v>3813</v>
      </c>
      <c r="R14" s="422">
        <v>0</v>
      </c>
      <c r="S14" s="422">
        <v>0</v>
      </c>
      <c r="T14" s="106">
        <f>UCs!R14+UCs!S14</f>
        <v>0</v>
      </c>
      <c r="V14" s="440" t="s">
        <v>3813</v>
      </c>
      <c r="W14" s="422">
        <v>0</v>
      </c>
      <c r="X14" s="422">
        <v>0</v>
      </c>
      <c r="Y14" s="106">
        <f>UCs!W14+UCs!X14</f>
        <v>0</v>
      </c>
      <c r="AA14" s="440" t="s">
        <v>3813</v>
      </c>
      <c r="AB14" s="422">
        <v>0</v>
      </c>
      <c r="AC14" s="422">
        <v>0</v>
      </c>
      <c r="AD14" s="106">
        <f>UCs!AB14+UCs!AC14</f>
        <v>0</v>
      </c>
      <c r="AF14" s="440" t="s">
        <v>3813</v>
      </c>
      <c r="AG14" s="422">
        <v>0</v>
      </c>
      <c r="AH14" s="422">
        <v>0</v>
      </c>
      <c r="AI14" s="106">
        <f>UCs!AG14+UCs!AH14</f>
        <v>0</v>
      </c>
      <c r="AK14" s="440" t="s">
        <v>3813</v>
      </c>
      <c r="AL14" s="422">
        <v>0</v>
      </c>
      <c r="AM14" s="422">
        <v>0</v>
      </c>
      <c r="AN14" s="106">
        <f>UCs!AL14+UCs!AM14</f>
        <v>0</v>
      </c>
      <c r="AP14" s="440" t="s">
        <v>3813</v>
      </c>
      <c r="AQ14" s="422">
        <v>0</v>
      </c>
      <c r="AR14" s="422">
        <v>0</v>
      </c>
      <c r="AS14" s="106">
        <f>UCs!AQ14+UCs!AR14</f>
        <v>0</v>
      </c>
      <c r="AU14" s="440" t="s">
        <v>3813</v>
      </c>
      <c r="AV14" s="422">
        <v>0</v>
      </c>
      <c r="AW14" s="422">
        <v>0</v>
      </c>
      <c r="AX14" s="106">
        <f>UCs!AV14+UCs!AW14</f>
        <v>0</v>
      </c>
      <c r="AZ14" s="440" t="s">
        <v>3813</v>
      </c>
      <c r="BA14" s="422">
        <v>0</v>
      </c>
      <c r="BB14" s="422">
        <v>0</v>
      </c>
      <c r="BC14" s="106">
        <f>UCs!BA14+UCs!BB14</f>
        <v>0</v>
      </c>
      <c r="BE14" s="440" t="s">
        <v>3813</v>
      </c>
      <c r="BF14" s="422">
        <v>0</v>
      </c>
      <c r="BG14" s="422">
        <v>0</v>
      </c>
      <c r="BH14" s="106">
        <f>UCs!BF14+UCs!BG14</f>
        <v>0</v>
      </c>
      <c r="BJ14" s="440" t="s">
        <v>3813</v>
      </c>
      <c r="BK14" s="422">
        <v>0</v>
      </c>
      <c r="BL14" s="422">
        <v>0</v>
      </c>
      <c r="BM14" s="106">
        <f>UCs!BK14+UCs!BL14</f>
        <v>0</v>
      </c>
      <c r="BO14" s="440" t="s">
        <v>3813</v>
      </c>
      <c r="BP14" s="422">
        <v>0</v>
      </c>
      <c r="BQ14" s="422">
        <v>0</v>
      </c>
      <c r="BR14" s="106">
        <f>UCs!BP14+UCs!BQ14</f>
        <v>0</v>
      </c>
      <c r="BT14" s="440" t="s">
        <v>3813</v>
      </c>
      <c r="BU14" s="422">
        <v>0</v>
      </c>
      <c r="BV14" s="422">
        <v>0</v>
      </c>
      <c r="BW14" s="106">
        <f>UCs!BU14+UCs!BV14</f>
        <v>0</v>
      </c>
      <c r="BY14" s="440" t="s">
        <v>3813</v>
      </c>
      <c r="BZ14" s="422">
        <v>0</v>
      </c>
      <c r="CA14" s="422">
        <v>0</v>
      </c>
      <c r="CB14" s="106">
        <f>UCs!BZ14+UCs!CA14</f>
        <v>0</v>
      </c>
      <c r="CD14" s="440" t="s">
        <v>3813</v>
      </c>
      <c r="CE14" s="422">
        <v>0</v>
      </c>
      <c r="CF14" s="422">
        <v>0</v>
      </c>
      <c r="CG14" s="106">
        <f>UCs!CE14+UCs!CF14</f>
        <v>0</v>
      </c>
      <c r="CI14" s="440" t="s">
        <v>3813</v>
      </c>
      <c r="CJ14" s="422">
        <v>0</v>
      </c>
      <c r="CK14" s="422">
        <v>0</v>
      </c>
      <c r="CL14" s="106">
        <f>UCs!CJ14+UCs!CK14</f>
        <v>0</v>
      </c>
      <c r="CN14" s="440" t="s">
        <v>3813</v>
      </c>
      <c r="CO14" s="422">
        <v>0</v>
      </c>
      <c r="CP14" s="422">
        <v>0</v>
      </c>
      <c r="CQ14" s="106">
        <f>UCs!CO14+UCs!CP14</f>
        <v>0</v>
      </c>
      <c r="CS14" s="440" t="s">
        <v>3813</v>
      </c>
      <c r="CT14" s="422">
        <v>0</v>
      </c>
      <c r="CU14" s="422">
        <v>0</v>
      </c>
      <c r="CV14" s="106">
        <f>UCs!CT14+UCs!CU14</f>
        <v>0</v>
      </c>
    </row>
    <row r="15" spans="2:100" x14ac:dyDescent="0.25">
      <c r="B15" s="440" t="s">
        <v>3814</v>
      </c>
      <c r="C15" s="422">
        <v>0</v>
      </c>
      <c r="D15" s="422">
        <v>0</v>
      </c>
      <c r="E15" s="106">
        <f>UCs!C15+UCs!D15</f>
        <v>0</v>
      </c>
      <c r="G15" s="440" t="s">
        <v>3814</v>
      </c>
      <c r="H15" s="422">
        <v>0</v>
      </c>
      <c r="I15" s="422">
        <v>0</v>
      </c>
      <c r="J15" s="106">
        <f>UCs!H15+UCs!I15</f>
        <v>0</v>
      </c>
      <c r="L15" s="440" t="s">
        <v>3814</v>
      </c>
      <c r="M15" s="422">
        <v>0</v>
      </c>
      <c r="N15" s="422">
        <v>0</v>
      </c>
      <c r="O15" s="106">
        <f>UCs!M15+UCs!N15</f>
        <v>0</v>
      </c>
      <c r="Q15" s="440" t="s">
        <v>3814</v>
      </c>
      <c r="R15" s="422">
        <v>0</v>
      </c>
      <c r="S15" s="422">
        <v>0</v>
      </c>
      <c r="T15" s="106">
        <f>UCs!R15+UCs!S15</f>
        <v>0</v>
      </c>
      <c r="V15" s="440" t="s">
        <v>3814</v>
      </c>
      <c r="W15" s="422">
        <v>0</v>
      </c>
      <c r="X15" s="422">
        <v>0</v>
      </c>
      <c r="Y15" s="106">
        <f>UCs!W15+UCs!X15</f>
        <v>0</v>
      </c>
      <c r="AA15" s="440" t="s">
        <v>3814</v>
      </c>
      <c r="AB15" s="422">
        <v>0</v>
      </c>
      <c r="AC15" s="422">
        <v>0</v>
      </c>
      <c r="AD15" s="106">
        <f>UCs!AB15+UCs!AC15</f>
        <v>0</v>
      </c>
      <c r="AF15" s="440" t="s">
        <v>3814</v>
      </c>
      <c r="AG15" s="422">
        <v>0</v>
      </c>
      <c r="AH15" s="422">
        <v>0</v>
      </c>
      <c r="AI15" s="106">
        <f>UCs!AG15+UCs!AH15</f>
        <v>0</v>
      </c>
      <c r="AK15" s="440" t="s">
        <v>3814</v>
      </c>
      <c r="AL15" s="422">
        <v>0</v>
      </c>
      <c r="AM15" s="422">
        <v>0</v>
      </c>
      <c r="AN15" s="106">
        <f>UCs!AL15+UCs!AM15</f>
        <v>0</v>
      </c>
      <c r="AP15" s="440" t="s">
        <v>3814</v>
      </c>
      <c r="AQ15" s="422">
        <v>0</v>
      </c>
      <c r="AR15" s="422">
        <v>0</v>
      </c>
      <c r="AS15" s="106">
        <f>UCs!AQ15+UCs!AR15</f>
        <v>0</v>
      </c>
      <c r="AU15" s="440" t="s">
        <v>3814</v>
      </c>
      <c r="AV15" s="422">
        <v>0</v>
      </c>
      <c r="AW15" s="422">
        <v>0</v>
      </c>
      <c r="AX15" s="106">
        <f>UCs!AV15+UCs!AW15</f>
        <v>0</v>
      </c>
      <c r="AZ15" s="440" t="s">
        <v>3814</v>
      </c>
      <c r="BA15" s="422">
        <v>0</v>
      </c>
      <c r="BB15" s="422">
        <v>0</v>
      </c>
      <c r="BC15" s="106">
        <f>UCs!BA15+UCs!BB15</f>
        <v>0</v>
      </c>
      <c r="BE15" s="440" t="s">
        <v>3814</v>
      </c>
      <c r="BF15" s="422">
        <v>0</v>
      </c>
      <c r="BG15" s="422">
        <v>0</v>
      </c>
      <c r="BH15" s="106">
        <f>UCs!BF15+UCs!BG15</f>
        <v>0</v>
      </c>
      <c r="BJ15" s="440" t="s">
        <v>3814</v>
      </c>
      <c r="BK15" s="422">
        <v>0</v>
      </c>
      <c r="BL15" s="422">
        <v>0</v>
      </c>
      <c r="BM15" s="106">
        <f>UCs!BK15+UCs!BL15</f>
        <v>0</v>
      </c>
      <c r="BO15" s="440" t="s">
        <v>3814</v>
      </c>
      <c r="BP15" s="422">
        <v>0</v>
      </c>
      <c r="BQ15" s="422">
        <v>0</v>
      </c>
      <c r="BR15" s="106">
        <f>UCs!BP15+UCs!BQ15</f>
        <v>0</v>
      </c>
      <c r="BT15" s="440" t="s">
        <v>3814</v>
      </c>
      <c r="BU15" s="422">
        <v>0</v>
      </c>
      <c r="BV15" s="422">
        <v>0</v>
      </c>
      <c r="BW15" s="106">
        <f>UCs!BU15+UCs!BV15</f>
        <v>0</v>
      </c>
      <c r="BY15" s="440" t="s">
        <v>3814</v>
      </c>
      <c r="BZ15" s="422">
        <v>0</v>
      </c>
      <c r="CA15" s="422">
        <v>0</v>
      </c>
      <c r="CB15" s="106">
        <f>UCs!BZ15+UCs!CA15</f>
        <v>0</v>
      </c>
      <c r="CD15" s="440" t="s">
        <v>3814</v>
      </c>
      <c r="CE15" s="422">
        <v>0</v>
      </c>
      <c r="CF15" s="422">
        <v>0</v>
      </c>
      <c r="CG15" s="106">
        <f>UCs!CE15+UCs!CF15</f>
        <v>0</v>
      </c>
      <c r="CI15" s="440" t="s">
        <v>3814</v>
      </c>
      <c r="CJ15" s="422">
        <v>0</v>
      </c>
      <c r="CK15" s="422">
        <v>0</v>
      </c>
      <c r="CL15" s="106">
        <f>UCs!CJ15+UCs!CK15</f>
        <v>0</v>
      </c>
      <c r="CN15" s="440" t="s">
        <v>3814</v>
      </c>
      <c r="CO15" s="422">
        <v>0</v>
      </c>
      <c r="CP15" s="422">
        <v>0</v>
      </c>
      <c r="CQ15" s="106">
        <f>UCs!CO15+UCs!CP15</f>
        <v>0</v>
      </c>
      <c r="CS15" s="440" t="s">
        <v>3814</v>
      </c>
      <c r="CT15" s="422">
        <v>0</v>
      </c>
      <c r="CU15" s="422">
        <v>0</v>
      </c>
      <c r="CV15" s="106">
        <f>UCs!CT15+UCs!CU15</f>
        <v>0</v>
      </c>
    </row>
    <row r="16" spans="2:100" x14ac:dyDescent="0.25">
      <c r="B16" s="440" t="s">
        <v>3815</v>
      </c>
      <c r="C16" s="422">
        <v>0</v>
      </c>
      <c r="D16" s="422">
        <v>0</v>
      </c>
      <c r="E16" s="106">
        <f>UCs!C16+UCs!D16</f>
        <v>0</v>
      </c>
      <c r="G16" s="440" t="s">
        <v>3815</v>
      </c>
      <c r="H16" s="422">
        <v>0</v>
      </c>
      <c r="I16" s="422">
        <v>0</v>
      </c>
      <c r="J16" s="106">
        <f>UCs!H16+UCs!I16</f>
        <v>0</v>
      </c>
      <c r="L16" s="440" t="s">
        <v>3815</v>
      </c>
      <c r="M16" s="422">
        <v>0</v>
      </c>
      <c r="N16" s="422">
        <v>0</v>
      </c>
      <c r="O16" s="106">
        <f>UCs!M16+UCs!N16</f>
        <v>0</v>
      </c>
      <c r="Q16" s="440" t="s">
        <v>3815</v>
      </c>
      <c r="R16" s="422">
        <v>0</v>
      </c>
      <c r="S16" s="422">
        <v>0</v>
      </c>
      <c r="T16" s="106">
        <f>UCs!R16+UCs!S16</f>
        <v>0</v>
      </c>
      <c r="V16" s="440" t="s">
        <v>3815</v>
      </c>
      <c r="W16" s="422">
        <v>0</v>
      </c>
      <c r="X16" s="422">
        <v>0</v>
      </c>
      <c r="Y16" s="106">
        <f>UCs!W16+UCs!X16</f>
        <v>0</v>
      </c>
      <c r="AA16" s="440" t="s">
        <v>3815</v>
      </c>
      <c r="AB16" s="422">
        <v>0</v>
      </c>
      <c r="AC16" s="422">
        <v>0</v>
      </c>
      <c r="AD16" s="106">
        <f>UCs!AB16+UCs!AC16</f>
        <v>0</v>
      </c>
      <c r="AF16" s="440" t="s">
        <v>3815</v>
      </c>
      <c r="AG16" s="422">
        <v>0</v>
      </c>
      <c r="AH16" s="422">
        <v>0</v>
      </c>
      <c r="AI16" s="106">
        <f>UCs!AG16+UCs!AH16</f>
        <v>0</v>
      </c>
      <c r="AK16" s="440" t="s">
        <v>3815</v>
      </c>
      <c r="AL16" s="422">
        <v>0</v>
      </c>
      <c r="AM16" s="422">
        <v>0</v>
      </c>
      <c r="AN16" s="106">
        <f>UCs!AL16+UCs!AM16</f>
        <v>0</v>
      </c>
      <c r="AP16" s="440" t="s">
        <v>3815</v>
      </c>
      <c r="AQ16" s="422">
        <v>0</v>
      </c>
      <c r="AR16" s="422">
        <v>0</v>
      </c>
      <c r="AS16" s="106">
        <f>UCs!AQ16+UCs!AR16</f>
        <v>0</v>
      </c>
      <c r="AU16" s="440" t="s">
        <v>3815</v>
      </c>
      <c r="AV16" s="422">
        <v>0</v>
      </c>
      <c r="AW16" s="422">
        <v>0</v>
      </c>
      <c r="AX16" s="106">
        <f>UCs!AV16+UCs!AW16</f>
        <v>0</v>
      </c>
      <c r="AZ16" s="440" t="s">
        <v>3815</v>
      </c>
      <c r="BA16" s="422">
        <v>0</v>
      </c>
      <c r="BB16" s="422">
        <v>0</v>
      </c>
      <c r="BC16" s="106">
        <f>UCs!BA16+UCs!BB16</f>
        <v>0</v>
      </c>
      <c r="BE16" s="440" t="s">
        <v>3815</v>
      </c>
      <c r="BF16" s="422">
        <v>0</v>
      </c>
      <c r="BG16" s="422">
        <v>0</v>
      </c>
      <c r="BH16" s="106">
        <f>UCs!BF16+UCs!BG16</f>
        <v>0</v>
      </c>
      <c r="BJ16" s="440" t="s">
        <v>3815</v>
      </c>
      <c r="BK16" s="422">
        <v>0</v>
      </c>
      <c r="BL16" s="422">
        <v>0</v>
      </c>
      <c r="BM16" s="106">
        <f>UCs!BK16+UCs!BL16</f>
        <v>0</v>
      </c>
      <c r="BO16" s="440" t="s">
        <v>3815</v>
      </c>
      <c r="BP16" s="422">
        <v>0</v>
      </c>
      <c r="BQ16" s="422">
        <v>0</v>
      </c>
      <c r="BR16" s="106">
        <f>UCs!BP16+UCs!BQ16</f>
        <v>0</v>
      </c>
      <c r="BT16" s="440" t="s">
        <v>3815</v>
      </c>
      <c r="BU16" s="422">
        <v>0</v>
      </c>
      <c r="BV16" s="422">
        <v>0</v>
      </c>
      <c r="BW16" s="106">
        <f>UCs!BU16+UCs!BV16</f>
        <v>0</v>
      </c>
      <c r="BY16" s="440" t="s">
        <v>3815</v>
      </c>
      <c r="BZ16" s="422">
        <v>0</v>
      </c>
      <c r="CA16" s="422">
        <v>0</v>
      </c>
      <c r="CB16" s="106">
        <f>UCs!BZ16+UCs!CA16</f>
        <v>0</v>
      </c>
      <c r="CD16" s="440" t="s">
        <v>3815</v>
      </c>
      <c r="CE16" s="422">
        <v>0</v>
      </c>
      <c r="CF16" s="422">
        <v>0</v>
      </c>
      <c r="CG16" s="106">
        <f>UCs!CE16+UCs!CF16</f>
        <v>0</v>
      </c>
      <c r="CI16" s="440" t="s">
        <v>3815</v>
      </c>
      <c r="CJ16" s="422">
        <v>0</v>
      </c>
      <c r="CK16" s="422">
        <v>0</v>
      </c>
      <c r="CL16" s="106">
        <f>UCs!CJ16+UCs!CK16</f>
        <v>0</v>
      </c>
      <c r="CN16" s="440" t="s">
        <v>3815</v>
      </c>
      <c r="CO16" s="422">
        <v>0</v>
      </c>
      <c r="CP16" s="422">
        <v>0</v>
      </c>
      <c r="CQ16" s="106">
        <f>UCs!CO16+UCs!CP16</f>
        <v>0</v>
      </c>
      <c r="CS16" s="440" t="s">
        <v>3815</v>
      </c>
      <c r="CT16" s="422">
        <v>0</v>
      </c>
      <c r="CU16" s="422">
        <v>0</v>
      </c>
      <c r="CV16" s="106">
        <f>UCs!CT16+UCs!CU16</f>
        <v>0</v>
      </c>
    </row>
    <row r="17" spans="2:100" x14ac:dyDescent="0.25">
      <c r="B17" s="440" t="s">
        <v>3816</v>
      </c>
      <c r="C17" s="422">
        <v>0</v>
      </c>
      <c r="D17" s="422">
        <v>0</v>
      </c>
      <c r="E17" s="106">
        <f>UCs!C17+UCs!D17</f>
        <v>0</v>
      </c>
      <c r="G17" s="440" t="s">
        <v>3816</v>
      </c>
      <c r="H17" s="422">
        <v>0</v>
      </c>
      <c r="I17" s="422">
        <v>0</v>
      </c>
      <c r="J17" s="106">
        <f>UCs!H17+UCs!I17</f>
        <v>0</v>
      </c>
      <c r="L17" s="440" t="s">
        <v>3816</v>
      </c>
      <c r="M17" s="422">
        <v>0</v>
      </c>
      <c r="N17" s="422">
        <v>0</v>
      </c>
      <c r="O17" s="106">
        <f>UCs!M17+UCs!N17</f>
        <v>0</v>
      </c>
      <c r="Q17" s="440" t="s">
        <v>3816</v>
      </c>
      <c r="R17" s="422">
        <v>0</v>
      </c>
      <c r="S17" s="422">
        <v>0</v>
      </c>
      <c r="T17" s="106">
        <f>UCs!R17+UCs!S17</f>
        <v>0</v>
      </c>
      <c r="V17" s="440" t="s">
        <v>3816</v>
      </c>
      <c r="W17" s="422">
        <v>0</v>
      </c>
      <c r="X17" s="422">
        <v>0</v>
      </c>
      <c r="Y17" s="106">
        <f>UCs!W17+UCs!X17</f>
        <v>0</v>
      </c>
      <c r="AA17" s="440" t="s">
        <v>3816</v>
      </c>
      <c r="AB17" s="422">
        <v>0</v>
      </c>
      <c r="AC17" s="422">
        <v>0</v>
      </c>
      <c r="AD17" s="106">
        <f>UCs!AB17+UCs!AC17</f>
        <v>0</v>
      </c>
      <c r="AF17" s="440" t="s">
        <v>3816</v>
      </c>
      <c r="AG17" s="422">
        <v>0</v>
      </c>
      <c r="AH17" s="422">
        <v>0</v>
      </c>
      <c r="AI17" s="106">
        <f>UCs!AG17+UCs!AH17</f>
        <v>0</v>
      </c>
      <c r="AK17" s="440" t="s">
        <v>3816</v>
      </c>
      <c r="AL17" s="422">
        <v>0</v>
      </c>
      <c r="AM17" s="422">
        <v>0</v>
      </c>
      <c r="AN17" s="106">
        <f>UCs!AL17+UCs!AM17</f>
        <v>0</v>
      </c>
      <c r="AP17" s="440" t="s">
        <v>3816</v>
      </c>
      <c r="AQ17" s="422">
        <v>0</v>
      </c>
      <c r="AR17" s="422">
        <v>0</v>
      </c>
      <c r="AS17" s="106">
        <f>UCs!AQ17+UCs!AR17</f>
        <v>0</v>
      </c>
      <c r="AU17" s="440" t="s">
        <v>3816</v>
      </c>
      <c r="AV17" s="422">
        <v>0</v>
      </c>
      <c r="AW17" s="422">
        <v>0</v>
      </c>
      <c r="AX17" s="106">
        <f>UCs!AV17+UCs!AW17</f>
        <v>0</v>
      </c>
      <c r="AZ17" s="440" t="s">
        <v>3816</v>
      </c>
      <c r="BA17" s="422">
        <v>0</v>
      </c>
      <c r="BB17" s="422">
        <v>0</v>
      </c>
      <c r="BC17" s="106">
        <f>UCs!BA17+UCs!BB17</f>
        <v>0</v>
      </c>
      <c r="BE17" s="440" t="s">
        <v>3816</v>
      </c>
      <c r="BF17" s="422">
        <v>0</v>
      </c>
      <c r="BG17" s="422">
        <v>0</v>
      </c>
      <c r="BH17" s="106">
        <f>UCs!BF17+UCs!BG17</f>
        <v>0</v>
      </c>
      <c r="BJ17" s="440" t="s">
        <v>3816</v>
      </c>
      <c r="BK17" s="422">
        <v>0</v>
      </c>
      <c r="BL17" s="422">
        <v>0</v>
      </c>
      <c r="BM17" s="106">
        <f>UCs!BK17+UCs!BL17</f>
        <v>0</v>
      </c>
      <c r="BO17" s="440" t="s">
        <v>3816</v>
      </c>
      <c r="BP17" s="422">
        <v>0</v>
      </c>
      <c r="BQ17" s="422">
        <v>0</v>
      </c>
      <c r="BR17" s="106">
        <f>UCs!BP17+UCs!BQ17</f>
        <v>0</v>
      </c>
      <c r="BT17" s="440" t="s">
        <v>3816</v>
      </c>
      <c r="BU17" s="422">
        <v>0</v>
      </c>
      <c r="BV17" s="422">
        <v>0</v>
      </c>
      <c r="BW17" s="106">
        <f>UCs!BU17+UCs!BV17</f>
        <v>0</v>
      </c>
      <c r="BY17" s="440" t="s">
        <v>3816</v>
      </c>
      <c r="BZ17" s="422">
        <v>0</v>
      </c>
      <c r="CA17" s="422">
        <v>0</v>
      </c>
      <c r="CB17" s="106">
        <f>UCs!BZ17+UCs!CA17</f>
        <v>0</v>
      </c>
      <c r="CD17" s="440" t="s">
        <v>3816</v>
      </c>
      <c r="CE17" s="422">
        <v>0</v>
      </c>
      <c r="CF17" s="422">
        <v>0</v>
      </c>
      <c r="CG17" s="106">
        <f>UCs!CE17+UCs!CF17</f>
        <v>0</v>
      </c>
      <c r="CI17" s="440" t="s">
        <v>3816</v>
      </c>
      <c r="CJ17" s="422">
        <v>0</v>
      </c>
      <c r="CK17" s="422">
        <v>0</v>
      </c>
      <c r="CL17" s="106">
        <f>UCs!CJ17+UCs!CK17</f>
        <v>0</v>
      </c>
      <c r="CN17" s="440" t="s">
        <v>3816</v>
      </c>
      <c r="CO17" s="422">
        <v>0</v>
      </c>
      <c r="CP17" s="422">
        <v>0</v>
      </c>
      <c r="CQ17" s="106">
        <f>UCs!CO17+UCs!CP17</f>
        <v>0</v>
      </c>
      <c r="CS17" s="440" t="s">
        <v>3816</v>
      </c>
      <c r="CT17" s="422">
        <v>0</v>
      </c>
      <c r="CU17" s="422">
        <v>0</v>
      </c>
      <c r="CV17" s="106">
        <f>UCs!CT17+UCs!CU17</f>
        <v>0</v>
      </c>
    </row>
    <row r="18" spans="2:100" x14ac:dyDescent="0.25">
      <c r="B18" s="440" t="s">
        <v>3817</v>
      </c>
      <c r="C18" s="422">
        <v>0</v>
      </c>
      <c r="D18" s="422">
        <v>0</v>
      </c>
      <c r="E18" s="106">
        <f>UCs!C18+UCs!D18</f>
        <v>0</v>
      </c>
      <c r="G18" s="440" t="s">
        <v>3817</v>
      </c>
      <c r="H18" s="422">
        <v>0</v>
      </c>
      <c r="I18" s="422">
        <v>0</v>
      </c>
      <c r="J18" s="106">
        <f>UCs!H18+UCs!I18</f>
        <v>0</v>
      </c>
      <c r="L18" s="440" t="s">
        <v>3817</v>
      </c>
      <c r="M18" s="422">
        <v>0</v>
      </c>
      <c r="N18" s="422">
        <v>0</v>
      </c>
      <c r="O18" s="106">
        <f>UCs!M18+UCs!N18</f>
        <v>0</v>
      </c>
      <c r="Q18" s="440" t="s">
        <v>3817</v>
      </c>
      <c r="R18" s="422">
        <v>0</v>
      </c>
      <c r="S18" s="422">
        <v>0</v>
      </c>
      <c r="T18" s="106">
        <f>UCs!R18+UCs!S18</f>
        <v>0</v>
      </c>
      <c r="V18" s="440" t="s">
        <v>3817</v>
      </c>
      <c r="W18" s="422">
        <v>0</v>
      </c>
      <c r="X18" s="422">
        <v>0</v>
      </c>
      <c r="Y18" s="106">
        <f>UCs!W18+UCs!X18</f>
        <v>0</v>
      </c>
      <c r="AA18" s="440" t="s">
        <v>3817</v>
      </c>
      <c r="AB18" s="422">
        <v>0</v>
      </c>
      <c r="AC18" s="422">
        <v>0</v>
      </c>
      <c r="AD18" s="106">
        <f>UCs!AB18+UCs!AC18</f>
        <v>0</v>
      </c>
      <c r="AF18" s="440" t="s">
        <v>3817</v>
      </c>
      <c r="AG18" s="422">
        <v>0</v>
      </c>
      <c r="AH18" s="422">
        <v>0</v>
      </c>
      <c r="AI18" s="106">
        <f>UCs!AG18+UCs!AH18</f>
        <v>0</v>
      </c>
      <c r="AK18" s="440" t="s">
        <v>3817</v>
      </c>
      <c r="AL18" s="422">
        <v>0</v>
      </c>
      <c r="AM18" s="422">
        <v>0</v>
      </c>
      <c r="AN18" s="106">
        <f>UCs!AL18+UCs!AM18</f>
        <v>0</v>
      </c>
      <c r="AP18" s="440" t="s">
        <v>3817</v>
      </c>
      <c r="AQ18" s="422">
        <v>0</v>
      </c>
      <c r="AR18" s="422">
        <v>0</v>
      </c>
      <c r="AS18" s="106">
        <f>UCs!AQ18+UCs!AR18</f>
        <v>0</v>
      </c>
      <c r="AU18" s="440" t="s">
        <v>3817</v>
      </c>
      <c r="AV18" s="422">
        <v>0</v>
      </c>
      <c r="AW18" s="422">
        <v>0</v>
      </c>
      <c r="AX18" s="106">
        <f>UCs!AV18+UCs!AW18</f>
        <v>0</v>
      </c>
      <c r="AZ18" s="440" t="s">
        <v>3817</v>
      </c>
      <c r="BA18" s="422">
        <v>0</v>
      </c>
      <c r="BB18" s="422">
        <v>0</v>
      </c>
      <c r="BC18" s="106">
        <f>UCs!BA18+UCs!BB18</f>
        <v>0</v>
      </c>
      <c r="BE18" s="440" t="s">
        <v>3817</v>
      </c>
      <c r="BF18" s="422">
        <v>0</v>
      </c>
      <c r="BG18" s="422">
        <v>0</v>
      </c>
      <c r="BH18" s="106">
        <f>UCs!BF18+UCs!BG18</f>
        <v>0</v>
      </c>
      <c r="BJ18" s="440" t="s">
        <v>3817</v>
      </c>
      <c r="BK18" s="422">
        <v>0</v>
      </c>
      <c r="BL18" s="422">
        <v>0</v>
      </c>
      <c r="BM18" s="106">
        <f>UCs!BK18+UCs!BL18</f>
        <v>0</v>
      </c>
      <c r="BO18" s="440" t="s">
        <v>3817</v>
      </c>
      <c r="BP18" s="422">
        <v>0</v>
      </c>
      <c r="BQ18" s="422">
        <v>0</v>
      </c>
      <c r="BR18" s="106">
        <f>UCs!BP18+UCs!BQ18</f>
        <v>0</v>
      </c>
      <c r="BT18" s="440" t="s">
        <v>3817</v>
      </c>
      <c r="BU18" s="422">
        <v>0</v>
      </c>
      <c r="BV18" s="422">
        <v>0</v>
      </c>
      <c r="BW18" s="106">
        <f>UCs!BU18+UCs!BV18</f>
        <v>0</v>
      </c>
      <c r="BY18" s="440" t="s">
        <v>3817</v>
      </c>
      <c r="BZ18" s="422">
        <v>0</v>
      </c>
      <c r="CA18" s="422">
        <v>0</v>
      </c>
      <c r="CB18" s="106">
        <f>UCs!BZ18+UCs!CA18</f>
        <v>0</v>
      </c>
      <c r="CD18" s="440" t="s">
        <v>3817</v>
      </c>
      <c r="CE18" s="422">
        <v>0</v>
      </c>
      <c r="CF18" s="422">
        <v>0</v>
      </c>
      <c r="CG18" s="106">
        <f>UCs!CE18+UCs!CF18</f>
        <v>0</v>
      </c>
      <c r="CI18" s="440" t="s">
        <v>3817</v>
      </c>
      <c r="CJ18" s="422">
        <v>0</v>
      </c>
      <c r="CK18" s="422">
        <v>0</v>
      </c>
      <c r="CL18" s="106">
        <f>UCs!CJ18+UCs!CK18</f>
        <v>0</v>
      </c>
      <c r="CN18" s="440" t="s">
        <v>3817</v>
      </c>
      <c r="CO18" s="422">
        <v>0</v>
      </c>
      <c r="CP18" s="422">
        <v>0</v>
      </c>
      <c r="CQ18" s="106">
        <f>UCs!CO18+UCs!CP18</f>
        <v>0</v>
      </c>
      <c r="CS18" s="440" t="s">
        <v>3817</v>
      </c>
      <c r="CT18" s="422">
        <v>0</v>
      </c>
      <c r="CU18" s="422">
        <v>0</v>
      </c>
      <c r="CV18" s="106">
        <f>UCs!CT18+UCs!CU18</f>
        <v>0</v>
      </c>
    </row>
    <row r="19" spans="2:100" x14ac:dyDescent="0.25">
      <c r="B19" s="440" t="s">
        <v>3818</v>
      </c>
      <c r="C19" s="422">
        <v>0</v>
      </c>
      <c r="D19" s="422">
        <v>0</v>
      </c>
      <c r="E19" s="106">
        <f>UCs!C19+UCs!D19</f>
        <v>0</v>
      </c>
      <c r="G19" s="440" t="s">
        <v>3818</v>
      </c>
      <c r="H19" s="422">
        <v>0</v>
      </c>
      <c r="I19" s="422">
        <v>0</v>
      </c>
      <c r="J19" s="106">
        <f>UCs!H19+UCs!I19</f>
        <v>0</v>
      </c>
      <c r="L19" s="440" t="s">
        <v>3818</v>
      </c>
      <c r="M19" s="422">
        <v>0</v>
      </c>
      <c r="N19" s="422">
        <v>0</v>
      </c>
      <c r="O19" s="106">
        <f>UCs!M19+UCs!N19</f>
        <v>0</v>
      </c>
      <c r="Q19" s="440" t="s">
        <v>3818</v>
      </c>
      <c r="R19" s="422">
        <v>0</v>
      </c>
      <c r="S19" s="422">
        <v>0</v>
      </c>
      <c r="T19" s="106">
        <f>UCs!R19+UCs!S19</f>
        <v>0</v>
      </c>
      <c r="V19" s="440" t="s">
        <v>3818</v>
      </c>
      <c r="W19" s="422">
        <v>0</v>
      </c>
      <c r="X19" s="422">
        <v>0</v>
      </c>
      <c r="Y19" s="106">
        <f>UCs!W19+UCs!X19</f>
        <v>0</v>
      </c>
      <c r="AA19" s="440" t="s">
        <v>3818</v>
      </c>
      <c r="AB19" s="422">
        <v>0</v>
      </c>
      <c r="AC19" s="422">
        <v>0</v>
      </c>
      <c r="AD19" s="106">
        <f>UCs!AB19+UCs!AC19</f>
        <v>0</v>
      </c>
      <c r="AF19" s="440" t="s">
        <v>3818</v>
      </c>
      <c r="AG19" s="422">
        <v>0</v>
      </c>
      <c r="AH19" s="422">
        <v>0</v>
      </c>
      <c r="AI19" s="106">
        <f>UCs!AG19+UCs!AH19</f>
        <v>0</v>
      </c>
      <c r="AK19" s="440" t="s">
        <v>3818</v>
      </c>
      <c r="AL19" s="422">
        <v>0</v>
      </c>
      <c r="AM19" s="422">
        <v>0</v>
      </c>
      <c r="AN19" s="106">
        <f>UCs!AL19+UCs!AM19</f>
        <v>0</v>
      </c>
      <c r="AP19" s="440" t="s">
        <v>3818</v>
      </c>
      <c r="AQ19" s="422">
        <v>0</v>
      </c>
      <c r="AR19" s="422">
        <v>0</v>
      </c>
      <c r="AS19" s="106">
        <f>UCs!AQ19+UCs!AR19</f>
        <v>0</v>
      </c>
      <c r="AU19" s="440" t="s">
        <v>3818</v>
      </c>
      <c r="AV19" s="422">
        <v>0</v>
      </c>
      <c r="AW19" s="422">
        <v>0</v>
      </c>
      <c r="AX19" s="106">
        <f>UCs!AV19+UCs!AW19</f>
        <v>0</v>
      </c>
      <c r="AZ19" s="440" t="s">
        <v>3818</v>
      </c>
      <c r="BA19" s="422">
        <v>0</v>
      </c>
      <c r="BB19" s="422">
        <v>0</v>
      </c>
      <c r="BC19" s="106">
        <f>UCs!BA19+UCs!BB19</f>
        <v>0</v>
      </c>
      <c r="BE19" s="440" t="s">
        <v>3818</v>
      </c>
      <c r="BF19" s="422">
        <v>0</v>
      </c>
      <c r="BG19" s="422">
        <v>0</v>
      </c>
      <c r="BH19" s="106">
        <f>UCs!BF19+UCs!BG19</f>
        <v>0</v>
      </c>
      <c r="BJ19" s="440" t="s">
        <v>3818</v>
      </c>
      <c r="BK19" s="422">
        <v>0</v>
      </c>
      <c r="BL19" s="422">
        <v>0</v>
      </c>
      <c r="BM19" s="106">
        <f>UCs!BK19+UCs!BL19</f>
        <v>0</v>
      </c>
      <c r="BO19" s="440" t="s">
        <v>3818</v>
      </c>
      <c r="BP19" s="422">
        <v>0</v>
      </c>
      <c r="BQ19" s="422">
        <v>0</v>
      </c>
      <c r="BR19" s="106">
        <f>UCs!BP19+UCs!BQ19</f>
        <v>0</v>
      </c>
      <c r="BT19" s="440" t="s">
        <v>3818</v>
      </c>
      <c r="BU19" s="422">
        <v>0</v>
      </c>
      <c r="BV19" s="422">
        <v>0</v>
      </c>
      <c r="BW19" s="106">
        <f>UCs!BU19+UCs!BV19</f>
        <v>0</v>
      </c>
      <c r="BY19" s="440" t="s">
        <v>3818</v>
      </c>
      <c r="BZ19" s="422">
        <v>0</v>
      </c>
      <c r="CA19" s="422">
        <v>0</v>
      </c>
      <c r="CB19" s="106">
        <f>UCs!BZ19+UCs!CA19</f>
        <v>0</v>
      </c>
      <c r="CD19" s="440" t="s">
        <v>3818</v>
      </c>
      <c r="CE19" s="422">
        <v>0</v>
      </c>
      <c r="CF19" s="422">
        <v>0</v>
      </c>
      <c r="CG19" s="106">
        <f>UCs!CE19+UCs!CF19</f>
        <v>0</v>
      </c>
      <c r="CI19" s="440" t="s">
        <v>3818</v>
      </c>
      <c r="CJ19" s="422">
        <v>0</v>
      </c>
      <c r="CK19" s="422">
        <v>0</v>
      </c>
      <c r="CL19" s="106">
        <f>UCs!CJ19+UCs!CK19</f>
        <v>0</v>
      </c>
      <c r="CN19" s="440" t="s">
        <v>3818</v>
      </c>
      <c r="CO19" s="422">
        <v>0</v>
      </c>
      <c r="CP19" s="422">
        <v>0</v>
      </c>
      <c r="CQ19" s="106">
        <f>UCs!CO19+UCs!CP19</f>
        <v>0</v>
      </c>
      <c r="CS19" s="440" t="s">
        <v>3818</v>
      </c>
      <c r="CT19" s="422">
        <v>0</v>
      </c>
      <c r="CU19" s="422">
        <v>0</v>
      </c>
      <c r="CV19" s="106">
        <f>UCs!CT19+UCs!CU19</f>
        <v>0</v>
      </c>
    </row>
    <row r="20" spans="2:100" x14ac:dyDescent="0.25">
      <c r="B20" s="440" t="s">
        <v>3819</v>
      </c>
      <c r="C20" s="422">
        <v>0</v>
      </c>
      <c r="D20" s="422">
        <v>0</v>
      </c>
      <c r="E20" s="106">
        <f>UCs!C20+UCs!D20</f>
        <v>0</v>
      </c>
      <c r="G20" s="440" t="s">
        <v>3819</v>
      </c>
      <c r="H20" s="422">
        <v>0</v>
      </c>
      <c r="I20" s="422">
        <v>0</v>
      </c>
      <c r="J20" s="106">
        <f>UCs!H20+UCs!I20</f>
        <v>0</v>
      </c>
      <c r="L20" s="440" t="s">
        <v>3819</v>
      </c>
      <c r="M20" s="422">
        <v>0</v>
      </c>
      <c r="N20" s="422">
        <v>0</v>
      </c>
      <c r="O20" s="106">
        <f>UCs!M20+UCs!N20</f>
        <v>0</v>
      </c>
      <c r="Q20" s="440" t="s">
        <v>3819</v>
      </c>
      <c r="R20" s="422">
        <v>0</v>
      </c>
      <c r="S20" s="422">
        <v>0</v>
      </c>
      <c r="T20" s="106">
        <f>UCs!R20+UCs!S20</f>
        <v>0</v>
      </c>
      <c r="V20" s="440" t="s">
        <v>3819</v>
      </c>
      <c r="W20" s="422">
        <v>0</v>
      </c>
      <c r="X20" s="422">
        <v>0</v>
      </c>
      <c r="Y20" s="106">
        <f>UCs!W20+UCs!X20</f>
        <v>0</v>
      </c>
      <c r="AA20" s="440" t="s">
        <v>3819</v>
      </c>
      <c r="AB20" s="422">
        <v>0</v>
      </c>
      <c r="AC20" s="422">
        <v>0</v>
      </c>
      <c r="AD20" s="106">
        <f>UCs!AB20+UCs!AC20</f>
        <v>0</v>
      </c>
      <c r="AF20" s="440" t="s">
        <v>3819</v>
      </c>
      <c r="AG20" s="422">
        <v>0</v>
      </c>
      <c r="AH20" s="422">
        <v>0</v>
      </c>
      <c r="AI20" s="106">
        <f>UCs!AG20+UCs!AH20</f>
        <v>0</v>
      </c>
      <c r="AK20" s="440" t="s">
        <v>3819</v>
      </c>
      <c r="AL20" s="422">
        <v>0</v>
      </c>
      <c r="AM20" s="422">
        <v>0</v>
      </c>
      <c r="AN20" s="106">
        <f>UCs!AL20+UCs!AM20</f>
        <v>0</v>
      </c>
      <c r="AP20" s="440" t="s">
        <v>3819</v>
      </c>
      <c r="AQ20" s="422">
        <v>0</v>
      </c>
      <c r="AR20" s="422">
        <v>0</v>
      </c>
      <c r="AS20" s="106">
        <f>UCs!AQ20+UCs!AR20</f>
        <v>0</v>
      </c>
      <c r="AU20" s="440" t="s">
        <v>3819</v>
      </c>
      <c r="AV20" s="422">
        <v>0</v>
      </c>
      <c r="AW20" s="422">
        <v>0</v>
      </c>
      <c r="AX20" s="106">
        <f>UCs!AV20+UCs!AW20</f>
        <v>0</v>
      </c>
      <c r="AZ20" s="440" t="s">
        <v>3819</v>
      </c>
      <c r="BA20" s="422">
        <v>0</v>
      </c>
      <c r="BB20" s="422">
        <v>0</v>
      </c>
      <c r="BC20" s="106">
        <f>UCs!BA20+UCs!BB20</f>
        <v>0</v>
      </c>
      <c r="BE20" s="440" t="s">
        <v>3819</v>
      </c>
      <c r="BF20" s="422">
        <v>0</v>
      </c>
      <c r="BG20" s="422">
        <v>0</v>
      </c>
      <c r="BH20" s="106">
        <f>UCs!BF20+UCs!BG20</f>
        <v>0</v>
      </c>
      <c r="BJ20" s="440" t="s">
        <v>3819</v>
      </c>
      <c r="BK20" s="422">
        <v>0</v>
      </c>
      <c r="BL20" s="422">
        <v>0</v>
      </c>
      <c r="BM20" s="106">
        <f>UCs!BK20+UCs!BL20</f>
        <v>0</v>
      </c>
      <c r="BO20" s="440" t="s">
        <v>3819</v>
      </c>
      <c r="BP20" s="422">
        <v>0</v>
      </c>
      <c r="BQ20" s="422">
        <v>0</v>
      </c>
      <c r="BR20" s="106">
        <f>UCs!BP20+UCs!BQ20</f>
        <v>0</v>
      </c>
      <c r="BT20" s="440" t="s">
        <v>3819</v>
      </c>
      <c r="BU20" s="422">
        <v>0</v>
      </c>
      <c r="BV20" s="422">
        <v>0</v>
      </c>
      <c r="BW20" s="106">
        <f>UCs!BU20+UCs!BV20</f>
        <v>0</v>
      </c>
      <c r="BY20" s="440" t="s">
        <v>3819</v>
      </c>
      <c r="BZ20" s="422">
        <v>0</v>
      </c>
      <c r="CA20" s="422">
        <v>0</v>
      </c>
      <c r="CB20" s="106">
        <f>UCs!BZ20+UCs!CA20</f>
        <v>0</v>
      </c>
      <c r="CD20" s="440" t="s">
        <v>3819</v>
      </c>
      <c r="CE20" s="422">
        <v>0</v>
      </c>
      <c r="CF20" s="422">
        <v>0</v>
      </c>
      <c r="CG20" s="106">
        <f>UCs!CE20+UCs!CF20</f>
        <v>0</v>
      </c>
      <c r="CI20" s="440" t="s">
        <v>3819</v>
      </c>
      <c r="CJ20" s="422">
        <v>0</v>
      </c>
      <c r="CK20" s="422">
        <v>0</v>
      </c>
      <c r="CL20" s="106">
        <f>UCs!CJ20+UCs!CK20</f>
        <v>0</v>
      </c>
      <c r="CN20" s="440" t="s">
        <v>3819</v>
      </c>
      <c r="CO20" s="422">
        <v>0</v>
      </c>
      <c r="CP20" s="422">
        <v>0</v>
      </c>
      <c r="CQ20" s="106">
        <f>UCs!CO20+UCs!CP20</f>
        <v>0</v>
      </c>
      <c r="CS20" s="440" t="s">
        <v>3819</v>
      </c>
      <c r="CT20" s="422">
        <v>0</v>
      </c>
      <c r="CU20" s="422">
        <v>0</v>
      </c>
      <c r="CV20" s="106">
        <f>UCs!CT20+UCs!CU20</f>
        <v>0</v>
      </c>
    </row>
    <row r="21" spans="2:100" x14ac:dyDescent="0.25">
      <c r="B21" s="440" t="s">
        <v>3820</v>
      </c>
      <c r="C21" s="422">
        <v>0</v>
      </c>
      <c r="D21" s="422">
        <v>0</v>
      </c>
      <c r="E21" s="106">
        <f>UCs!C21+UCs!D21</f>
        <v>0</v>
      </c>
      <c r="G21" s="440" t="s">
        <v>3820</v>
      </c>
      <c r="H21" s="422">
        <v>0</v>
      </c>
      <c r="I21" s="422">
        <v>0</v>
      </c>
      <c r="J21" s="106">
        <f>UCs!H21+UCs!I21</f>
        <v>0</v>
      </c>
      <c r="L21" s="440" t="s">
        <v>3820</v>
      </c>
      <c r="M21" s="422">
        <v>0</v>
      </c>
      <c r="N21" s="422">
        <v>0</v>
      </c>
      <c r="O21" s="106">
        <f>UCs!M21+UCs!N21</f>
        <v>0</v>
      </c>
      <c r="Q21" s="440" t="s">
        <v>3820</v>
      </c>
      <c r="R21" s="422">
        <v>0</v>
      </c>
      <c r="S21" s="422">
        <v>0</v>
      </c>
      <c r="T21" s="106">
        <f>UCs!R21+UCs!S21</f>
        <v>0</v>
      </c>
      <c r="V21" s="440" t="s">
        <v>3820</v>
      </c>
      <c r="W21" s="422">
        <v>0</v>
      </c>
      <c r="X21" s="422">
        <v>0</v>
      </c>
      <c r="Y21" s="106">
        <f>UCs!W21+UCs!X21</f>
        <v>0</v>
      </c>
      <c r="AA21" s="440" t="s">
        <v>3820</v>
      </c>
      <c r="AB21" s="422">
        <v>0</v>
      </c>
      <c r="AC21" s="422">
        <v>0</v>
      </c>
      <c r="AD21" s="106">
        <f>UCs!AB21+UCs!AC21</f>
        <v>0</v>
      </c>
      <c r="AF21" s="440" t="s">
        <v>3820</v>
      </c>
      <c r="AG21" s="422">
        <v>0</v>
      </c>
      <c r="AH21" s="422">
        <v>0</v>
      </c>
      <c r="AI21" s="106">
        <f>UCs!AG21+UCs!AH21</f>
        <v>0</v>
      </c>
      <c r="AK21" s="440" t="s">
        <v>3820</v>
      </c>
      <c r="AL21" s="422">
        <v>0</v>
      </c>
      <c r="AM21" s="422">
        <v>0</v>
      </c>
      <c r="AN21" s="106">
        <f>UCs!AL21+UCs!AM21</f>
        <v>0</v>
      </c>
      <c r="AP21" s="440" t="s">
        <v>3820</v>
      </c>
      <c r="AQ21" s="422">
        <v>0</v>
      </c>
      <c r="AR21" s="422">
        <v>0</v>
      </c>
      <c r="AS21" s="106">
        <f>UCs!AQ21+UCs!AR21</f>
        <v>0</v>
      </c>
      <c r="AU21" s="440" t="s">
        <v>3820</v>
      </c>
      <c r="AV21" s="422">
        <v>0</v>
      </c>
      <c r="AW21" s="422">
        <v>0</v>
      </c>
      <c r="AX21" s="106">
        <f>UCs!AV21+UCs!AW21</f>
        <v>0</v>
      </c>
      <c r="AZ21" s="440" t="s">
        <v>3820</v>
      </c>
      <c r="BA21" s="422">
        <v>0</v>
      </c>
      <c r="BB21" s="422">
        <v>0</v>
      </c>
      <c r="BC21" s="106">
        <f>UCs!BA21+UCs!BB21</f>
        <v>0</v>
      </c>
      <c r="BE21" s="440" t="s">
        <v>3820</v>
      </c>
      <c r="BF21" s="422">
        <v>0</v>
      </c>
      <c r="BG21" s="422">
        <v>0</v>
      </c>
      <c r="BH21" s="106">
        <f>UCs!BF21+UCs!BG21</f>
        <v>0</v>
      </c>
      <c r="BJ21" s="440" t="s">
        <v>3820</v>
      </c>
      <c r="BK21" s="422">
        <v>0</v>
      </c>
      <c r="BL21" s="422">
        <v>0</v>
      </c>
      <c r="BM21" s="106">
        <f>UCs!BK21+UCs!BL21</f>
        <v>0</v>
      </c>
      <c r="BO21" s="440" t="s">
        <v>3820</v>
      </c>
      <c r="BP21" s="422">
        <v>0</v>
      </c>
      <c r="BQ21" s="422">
        <v>0</v>
      </c>
      <c r="BR21" s="106">
        <f>UCs!BP21+UCs!BQ21</f>
        <v>0</v>
      </c>
      <c r="BT21" s="440" t="s">
        <v>3820</v>
      </c>
      <c r="BU21" s="422">
        <v>0</v>
      </c>
      <c r="BV21" s="422">
        <v>0</v>
      </c>
      <c r="BW21" s="106">
        <f>UCs!BU21+UCs!BV21</f>
        <v>0</v>
      </c>
      <c r="BY21" s="440" t="s">
        <v>3820</v>
      </c>
      <c r="BZ21" s="422">
        <v>0</v>
      </c>
      <c r="CA21" s="422">
        <v>0</v>
      </c>
      <c r="CB21" s="106">
        <f>UCs!BZ21+UCs!CA21</f>
        <v>0</v>
      </c>
      <c r="CD21" s="440" t="s">
        <v>3820</v>
      </c>
      <c r="CE21" s="422">
        <v>0</v>
      </c>
      <c r="CF21" s="422">
        <v>0</v>
      </c>
      <c r="CG21" s="106">
        <f>UCs!CE21+UCs!CF21</f>
        <v>0</v>
      </c>
      <c r="CI21" s="440" t="s">
        <v>3820</v>
      </c>
      <c r="CJ21" s="422">
        <v>0</v>
      </c>
      <c r="CK21" s="422">
        <v>0</v>
      </c>
      <c r="CL21" s="106">
        <f>UCs!CJ21+UCs!CK21</f>
        <v>0</v>
      </c>
      <c r="CN21" s="440" t="s">
        <v>3820</v>
      </c>
      <c r="CO21" s="422">
        <v>0</v>
      </c>
      <c r="CP21" s="422">
        <v>0</v>
      </c>
      <c r="CQ21" s="106">
        <f>UCs!CO21+UCs!CP21</f>
        <v>0</v>
      </c>
      <c r="CS21" s="440" t="s">
        <v>3820</v>
      </c>
      <c r="CT21" s="422">
        <v>0</v>
      </c>
      <c r="CU21" s="422">
        <v>0</v>
      </c>
      <c r="CV21" s="106">
        <f>UCs!CT21+UCs!CU21</f>
        <v>0</v>
      </c>
    </row>
    <row r="22" spans="2:100" x14ac:dyDescent="0.25">
      <c r="B22" s="572" t="s">
        <v>3821</v>
      </c>
      <c r="C22" s="570">
        <f>SUBTOTAL(101,Consumo_energia_UC110[Consumo Ponta '[a']])</f>
        <v>0</v>
      </c>
      <c r="D22" s="571">
        <f>SUBTOTAL(101,Consumo_energia_UC110[Consumo Fora Ponta '[b']])</f>
        <v>0</v>
      </c>
      <c r="E22" s="569">
        <f>SUBTOTAL(109,Consumo_energia_UC110[Consumo total (kWh/mês)])</f>
        <v>0</v>
      </c>
      <c r="G22" s="572" t="s">
        <v>3821</v>
      </c>
      <c r="H22" s="570">
        <f>SUBTOTAL(101,Consumo_energia_UC11010[Consumo Ponta '[a']])</f>
        <v>0</v>
      </c>
      <c r="I22" s="571">
        <f>SUBTOTAL(101,Consumo_energia_UC11010[Consumo Fora Ponta '[b']])</f>
        <v>0</v>
      </c>
      <c r="J22" s="569">
        <f>SUBTOTAL(109,Consumo_energia_UC11010[Consumo total (kWh/mês)])</f>
        <v>0</v>
      </c>
      <c r="L22" s="572" t="s">
        <v>3821</v>
      </c>
      <c r="M22" s="570">
        <f>SUBTOTAL(101,Consumo_energia_UC11012[Consumo Ponta '[a']])</f>
        <v>0</v>
      </c>
      <c r="N22" s="571">
        <f>SUBTOTAL(101,Consumo_energia_UC11012[Consumo Fora Ponta '[b']])</f>
        <v>0</v>
      </c>
      <c r="O22" s="569">
        <f>SUBTOTAL(109,Consumo_energia_UC11012[Consumo total (kWh/mês)])</f>
        <v>0</v>
      </c>
      <c r="Q22" s="572" t="s">
        <v>3821</v>
      </c>
      <c r="R22" s="570">
        <f>SUBTOTAL(101,Consumo_energia_UC11014[Consumo Ponta '[a']])</f>
        <v>0</v>
      </c>
      <c r="S22" s="571">
        <f>SUBTOTAL(101,Consumo_energia_UC11014[Consumo Fora Ponta '[b']])</f>
        <v>0</v>
      </c>
      <c r="T22" s="569">
        <f>SUBTOTAL(109,Consumo_energia_UC11014[Consumo total (kWh/mês)])</f>
        <v>0</v>
      </c>
      <c r="V22" s="572" t="s">
        <v>3821</v>
      </c>
      <c r="W22" s="570">
        <f>SUBTOTAL(101,Consumo_energia_UC11016[Consumo Ponta '[a']])</f>
        <v>0</v>
      </c>
      <c r="X22" s="571">
        <f>SUBTOTAL(101,Consumo_energia_UC11016[Consumo Fora Ponta '[b']])</f>
        <v>0</v>
      </c>
      <c r="Y22" s="569">
        <f>SUBTOTAL(109,Consumo_energia_UC11016[Consumo total (kWh/mês)])</f>
        <v>0</v>
      </c>
      <c r="AA22" s="572" t="s">
        <v>3821</v>
      </c>
      <c r="AB22" s="570">
        <f>SUBTOTAL(101,Consumo_energia_UC1101618[Consumo Ponta '[a']])</f>
        <v>0</v>
      </c>
      <c r="AC22" s="571">
        <f>SUBTOTAL(101,Consumo_energia_UC1101618[Consumo Fora Ponta '[b']])</f>
        <v>0</v>
      </c>
      <c r="AD22" s="569">
        <f>SUBTOTAL(109,Consumo_energia_UC1101618[Consumo total (kWh/mês)])</f>
        <v>0</v>
      </c>
      <c r="AF22" s="572" t="s">
        <v>3821</v>
      </c>
      <c r="AG22" s="570">
        <f>SUBTOTAL(101,Consumo_energia_UC1101620[Consumo Ponta '[a']])</f>
        <v>0</v>
      </c>
      <c r="AH22" s="571">
        <f>SUBTOTAL(101,Consumo_energia_UC1101620[Consumo Fora Ponta '[b']])</f>
        <v>0</v>
      </c>
      <c r="AI22" s="569">
        <f>SUBTOTAL(109,Consumo_energia_UC1101620[Consumo total (kWh/mês)])</f>
        <v>0</v>
      </c>
      <c r="AK22" s="572" t="s">
        <v>3821</v>
      </c>
      <c r="AL22" s="570">
        <f>SUBTOTAL(101,Consumo_energia_UC1101625[Consumo Ponta '[a']])</f>
        <v>0</v>
      </c>
      <c r="AM22" s="571">
        <f>SUBTOTAL(101,Consumo_energia_UC1101625[Consumo Fora Ponta '[b']])</f>
        <v>0</v>
      </c>
      <c r="AN22" s="569">
        <f>SUBTOTAL(109,Consumo_energia_UC1101625[Consumo total (kWh/mês)])</f>
        <v>0</v>
      </c>
      <c r="AP22" s="572" t="s">
        <v>3821</v>
      </c>
      <c r="AQ22" s="570">
        <f>SUBTOTAL(101,Consumo_energia_UC1101627[Consumo Ponta '[a']])</f>
        <v>0</v>
      </c>
      <c r="AR22" s="571">
        <f>SUBTOTAL(101,Consumo_energia_UC1101627[Consumo Fora Ponta '[b']])</f>
        <v>0</v>
      </c>
      <c r="AS22" s="569">
        <f>SUBTOTAL(109,Consumo_energia_UC1101627[Consumo total (kWh/mês)])</f>
        <v>0</v>
      </c>
      <c r="AU22" s="572" t="s">
        <v>3821</v>
      </c>
      <c r="AV22" s="570">
        <f>SUBTOTAL(101,Consumo_energia_UC1101629[Consumo Ponta '[a']])</f>
        <v>0</v>
      </c>
      <c r="AW22" s="571">
        <f>SUBTOTAL(101,Consumo_energia_UC1101629[Consumo Fora Ponta '[b']])</f>
        <v>0</v>
      </c>
      <c r="AX22" s="569">
        <f>SUBTOTAL(109,Consumo_energia_UC1101629[Consumo total (kWh/mês)])</f>
        <v>0</v>
      </c>
      <c r="AZ22" s="572" t="s">
        <v>3821</v>
      </c>
      <c r="BA22" s="570">
        <f>SUBTOTAL(101,Consumo_energia_UC1101632[Consumo Ponta '[a']])</f>
        <v>0</v>
      </c>
      <c r="BB22" s="571">
        <f>SUBTOTAL(101,Consumo_energia_UC1101632[Consumo Fora Ponta '[b']])</f>
        <v>0</v>
      </c>
      <c r="BC22" s="569">
        <f>SUBTOTAL(109,Consumo_energia_UC1101632[Consumo total (kWh/mês)])</f>
        <v>0</v>
      </c>
      <c r="BE22" s="572" t="s">
        <v>3821</v>
      </c>
      <c r="BF22" s="570">
        <f>SUBTOTAL(101,Consumo_energia_UC1101634[Consumo Ponta '[a']])</f>
        <v>0</v>
      </c>
      <c r="BG22" s="571">
        <f>SUBTOTAL(101,Consumo_energia_UC1101634[Consumo Fora Ponta '[b']])</f>
        <v>0</v>
      </c>
      <c r="BH22" s="569">
        <f>SUBTOTAL(109,Consumo_energia_UC1101634[Consumo total (kWh/mês)])</f>
        <v>0</v>
      </c>
      <c r="BJ22" s="572" t="s">
        <v>3821</v>
      </c>
      <c r="BK22" s="570">
        <f>SUBTOTAL(101,Consumo_energia_UC1101636[Consumo Ponta '[a']])</f>
        <v>0</v>
      </c>
      <c r="BL22" s="571">
        <f>SUBTOTAL(101,Consumo_energia_UC1101636[Consumo Fora Ponta '[b']])</f>
        <v>0</v>
      </c>
      <c r="BM22" s="569">
        <f>SUBTOTAL(109,Consumo_energia_UC1101636[Consumo total (kWh/mês)])</f>
        <v>0</v>
      </c>
      <c r="BO22" s="572" t="s">
        <v>3821</v>
      </c>
      <c r="BP22" s="570">
        <f>SUBTOTAL(101,Consumo_energia_UC1101638[Consumo Ponta '[a']])</f>
        <v>0</v>
      </c>
      <c r="BQ22" s="571">
        <f>SUBTOTAL(101,Consumo_energia_UC1101638[Consumo Fora Ponta '[b']])</f>
        <v>0</v>
      </c>
      <c r="BR22" s="569">
        <f>SUBTOTAL(109,Consumo_energia_UC1101638[Consumo total (kWh/mês)])</f>
        <v>0</v>
      </c>
      <c r="BT22" s="572" t="s">
        <v>3821</v>
      </c>
      <c r="BU22" s="570">
        <f>SUBTOTAL(101,Consumo_energia_UC1101640[Consumo Ponta '[a']])</f>
        <v>0</v>
      </c>
      <c r="BV22" s="571">
        <f>SUBTOTAL(101,Consumo_energia_UC1101640[Consumo Fora Ponta '[b']])</f>
        <v>0</v>
      </c>
      <c r="BW22" s="569">
        <f>SUBTOTAL(109,Consumo_energia_UC1101640[Consumo total (kWh/mês)])</f>
        <v>0</v>
      </c>
      <c r="BY22" s="572" t="s">
        <v>3821</v>
      </c>
      <c r="BZ22" s="570">
        <f>SUBTOTAL(101,Consumo_energia_UC1101642[Consumo Ponta '[a']])</f>
        <v>0</v>
      </c>
      <c r="CA22" s="571">
        <f>SUBTOTAL(101,Consumo_energia_UC1101642[Consumo Fora Ponta '[b']])</f>
        <v>0</v>
      </c>
      <c r="CB22" s="569">
        <f>SUBTOTAL(109,Consumo_energia_UC1101642[Consumo total (kWh/mês)])</f>
        <v>0</v>
      </c>
      <c r="CD22" s="572" t="s">
        <v>3821</v>
      </c>
      <c r="CE22" s="570">
        <f>SUBTOTAL(101,Consumo_energia_UC1101644[Consumo Ponta '[a']])</f>
        <v>0</v>
      </c>
      <c r="CF22" s="571">
        <f>SUBTOTAL(101,Consumo_energia_UC1101644[Consumo Fora Ponta '[b']])</f>
        <v>0</v>
      </c>
      <c r="CG22" s="569">
        <f>SUBTOTAL(109,Consumo_energia_UC1101644[Consumo total (kWh/mês)])</f>
        <v>0</v>
      </c>
      <c r="CI22" s="572" t="s">
        <v>3821</v>
      </c>
      <c r="CJ22" s="570">
        <f>SUBTOTAL(101,Consumo_energia_UC1101646[Consumo Ponta '[a']])</f>
        <v>0</v>
      </c>
      <c r="CK22" s="571">
        <f>SUBTOTAL(101,Consumo_energia_UC1101646[Consumo Fora Ponta '[b']])</f>
        <v>0</v>
      </c>
      <c r="CL22" s="569">
        <f>SUBTOTAL(109,Consumo_energia_UC1101646[Consumo total (kWh/mês)])</f>
        <v>0</v>
      </c>
      <c r="CN22" s="572" t="s">
        <v>3821</v>
      </c>
      <c r="CO22" s="570">
        <f>SUBTOTAL(101,Consumo_energia_UC1101648[Consumo Ponta '[a']])</f>
        <v>0</v>
      </c>
      <c r="CP22" s="571">
        <f>SUBTOTAL(101,Consumo_energia_UC1101648[Consumo Fora Ponta '[b']])</f>
        <v>0</v>
      </c>
      <c r="CQ22" s="569">
        <f>SUBTOTAL(109,Consumo_energia_UC1101648[Consumo total (kWh/mês)])</f>
        <v>0</v>
      </c>
      <c r="CS22" s="572" t="s">
        <v>3821</v>
      </c>
      <c r="CT22" s="570">
        <f>SUBTOTAL(101,Consumo_energia_UC1101650[Consumo Ponta '[a']])</f>
        <v>0</v>
      </c>
      <c r="CU22" s="571">
        <f>SUBTOTAL(101,Consumo_energia_UC1101650[Consumo Fora Ponta '[b']])</f>
        <v>0</v>
      </c>
      <c r="CV22" s="569">
        <f>SUBTOTAL(109,Consumo_energia_UC1101650[Consumo total (kWh/mês)])</f>
        <v>0</v>
      </c>
    </row>
    <row r="23" spans="2:100" x14ac:dyDescent="0.25">
      <c r="B23" s="573"/>
      <c r="C23" s="574"/>
      <c r="D23" s="574"/>
      <c r="E23" s="575"/>
      <c r="G23" s="573"/>
      <c r="H23" s="574"/>
      <c r="I23" s="574"/>
      <c r="J23" s="575"/>
      <c r="L23" s="573"/>
      <c r="M23" s="574"/>
      <c r="N23" s="574"/>
      <c r="O23" s="575"/>
      <c r="Q23" s="573"/>
      <c r="R23" s="574"/>
      <c r="S23" s="574"/>
      <c r="T23" s="575"/>
      <c r="V23" s="573"/>
      <c r="W23" s="574"/>
      <c r="X23" s="574"/>
      <c r="Y23" s="575"/>
      <c r="AA23" s="573"/>
      <c r="AB23" s="574"/>
      <c r="AC23" s="574"/>
      <c r="AD23" s="575"/>
      <c r="AF23" s="573"/>
      <c r="AG23" s="574"/>
      <c r="AH23" s="574"/>
      <c r="AI23" s="575"/>
      <c r="AK23" s="573"/>
      <c r="AL23" s="574"/>
      <c r="AM23" s="574"/>
      <c r="AN23" s="575"/>
      <c r="AP23" s="573"/>
      <c r="AQ23" s="574"/>
      <c r="AR23" s="574"/>
      <c r="AS23" s="575"/>
      <c r="AU23" s="573"/>
      <c r="AV23" s="574"/>
      <c r="AW23" s="574"/>
      <c r="AX23" s="575"/>
      <c r="AZ23" s="573"/>
      <c r="BA23" s="574"/>
      <c r="BB23" s="574"/>
      <c r="BC23" s="575"/>
      <c r="BE23" s="573"/>
      <c r="BF23" s="574"/>
      <c r="BG23" s="574"/>
      <c r="BH23" s="575"/>
      <c r="BJ23" s="573"/>
      <c r="BK23" s="574"/>
      <c r="BL23" s="574"/>
      <c r="BM23" s="575"/>
      <c r="BO23" s="573"/>
      <c r="BP23" s="574"/>
      <c r="BQ23" s="574"/>
      <c r="BR23" s="575"/>
      <c r="BT23" s="573"/>
      <c r="BU23" s="574"/>
      <c r="BV23" s="574"/>
      <c r="BW23" s="575"/>
      <c r="BY23" s="573"/>
      <c r="BZ23" s="574"/>
      <c r="CA23" s="574"/>
      <c r="CB23" s="575"/>
      <c r="CD23" s="573"/>
      <c r="CE23" s="574"/>
      <c r="CF23" s="574"/>
      <c r="CG23" s="575"/>
      <c r="CI23" s="573"/>
      <c r="CJ23" s="574"/>
      <c r="CK23" s="574"/>
      <c r="CL23" s="575"/>
      <c r="CN23" s="573"/>
      <c r="CO23" s="574"/>
      <c r="CP23" s="574"/>
      <c r="CQ23" s="575"/>
      <c r="CS23" s="573"/>
      <c r="CT23" s="574"/>
      <c r="CU23" s="574"/>
      <c r="CV23" s="575"/>
    </row>
    <row r="24" spans="2:100" x14ac:dyDescent="0.25">
      <c r="B24" s="674" t="s">
        <v>5070</v>
      </c>
      <c r="C24" s="674"/>
      <c r="D24" s="674"/>
      <c r="E24" s="674"/>
      <c r="G24" s="674" t="s">
        <v>5070</v>
      </c>
      <c r="H24" s="674"/>
      <c r="I24" s="674"/>
      <c r="J24" s="674"/>
      <c r="L24" s="674" t="s">
        <v>5070</v>
      </c>
      <c r="M24" s="674"/>
      <c r="N24" s="674"/>
      <c r="O24" s="674"/>
      <c r="Q24" s="674" t="s">
        <v>5070</v>
      </c>
      <c r="R24" s="674"/>
      <c r="S24" s="674"/>
      <c r="T24" s="674"/>
      <c r="V24" s="674" t="s">
        <v>5070</v>
      </c>
      <c r="W24" s="674"/>
      <c r="X24" s="674"/>
      <c r="Y24" s="674"/>
      <c r="AA24" s="674" t="s">
        <v>5070</v>
      </c>
      <c r="AB24" s="674"/>
      <c r="AC24" s="674"/>
      <c r="AD24" s="674"/>
      <c r="AF24" s="674" t="s">
        <v>5070</v>
      </c>
      <c r="AG24" s="674"/>
      <c r="AH24" s="674"/>
      <c r="AI24" s="674"/>
      <c r="AK24" s="674" t="s">
        <v>5070</v>
      </c>
      <c r="AL24" s="674"/>
      <c r="AM24" s="674"/>
      <c r="AN24" s="674"/>
      <c r="AP24" s="674" t="s">
        <v>5070</v>
      </c>
      <c r="AQ24" s="674"/>
      <c r="AR24" s="674"/>
      <c r="AS24" s="674"/>
      <c r="AU24" s="674" t="s">
        <v>5070</v>
      </c>
      <c r="AV24" s="674"/>
      <c r="AW24" s="674"/>
      <c r="AX24" s="674"/>
      <c r="AZ24" s="674" t="s">
        <v>5070</v>
      </c>
      <c r="BA24" s="674"/>
      <c r="BB24" s="674"/>
      <c r="BC24" s="674"/>
      <c r="BE24" s="674" t="s">
        <v>5070</v>
      </c>
      <c r="BF24" s="674"/>
      <c r="BG24" s="674"/>
      <c r="BH24" s="674"/>
      <c r="BJ24" s="674" t="s">
        <v>5070</v>
      </c>
      <c r="BK24" s="674"/>
      <c r="BL24" s="674"/>
      <c r="BM24" s="674"/>
      <c r="BO24" s="674" t="s">
        <v>5070</v>
      </c>
      <c r="BP24" s="674"/>
      <c r="BQ24" s="674"/>
      <c r="BR24" s="674"/>
      <c r="BT24" s="674" t="s">
        <v>5070</v>
      </c>
      <c r="BU24" s="674"/>
      <c r="BV24" s="674"/>
      <c r="BW24" s="674"/>
      <c r="BY24" s="674" t="s">
        <v>5070</v>
      </c>
      <c r="BZ24" s="674"/>
      <c r="CA24" s="674"/>
      <c r="CB24" s="674"/>
      <c r="CD24" s="674" t="s">
        <v>5070</v>
      </c>
      <c r="CE24" s="674"/>
      <c r="CF24" s="674"/>
      <c r="CG24" s="674"/>
      <c r="CI24" s="674" t="s">
        <v>5070</v>
      </c>
      <c r="CJ24" s="674"/>
      <c r="CK24" s="674"/>
      <c r="CL24" s="674"/>
      <c r="CN24" s="674" t="s">
        <v>5070</v>
      </c>
      <c r="CO24" s="674"/>
      <c r="CP24" s="674"/>
      <c r="CQ24" s="674"/>
      <c r="CS24" s="674" t="s">
        <v>5070</v>
      </c>
      <c r="CT24" s="674"/>
      <c r="CU24" s="674"/>
      <c r="CV24" s="674"/>
    </row>
    <row r="25" spans="2:100" x14ac:dyDescent="0.25">
      <c r="B25" s="629" t="s">
        <v>3805</v>
      </c>
      <c r="C25" s="630" t="s">
        <v>5071</v>
      </c>
      <c r="D25" s="631" t="s">
        <v>5072</v>
      </c>
      <c r="E25" s="631" t="s">
        <v>5073</v>
      </c>
      <c r="G25" s="629" t="s">
        <v>3805</v>
      </c>
      <c r="H25" s="630" t="s">
        <v>5071</v>
      </c>
      <c r="I25" s="631" t="s">
        <v>5072</v>
      </c>
      <c r="J25" s="631" t="s">
        <v>5073</v>
      </c>
      <c r="L25" s="629" t="s">
        <v>3805</v>
      </c>
      <c r="M25" s="630" t="s">
        <v>5071</v>
      </c>
      <c r="N25" s="631" t="s">
        <v>5072</v>
      </c>
      <c r="O25" s="631" t="s">
        <v>5073</v>
      </c>
      <c r="Q25" s="629" t="s">
        <v>3805</v>
      </c>
      <c r="R25" s="630" t="s">
        <v>5071</v>
      </c>
      <c r="S25" s="631" t="s">
        <v>5072</v>
      </c>
      <c r="T25" s="631" t="s">
        <v>5073</v>
      </c>
      <c r="V25" s="629" t="s">
        <v>3805</v>
      </c>
      <c r="W25" s="630" t="s">
        <v>5071</v>
      </c>
      <c r="X25" s="631" t="s">
        <v>5072</v>
      </c>
      <c r="Y25" s="631" t="s">
        <v>5073</v>
      </c>
      <c r="AA25" s="629" t="s">
        <v>3805</v>
      </c>
      <c r="AB25" s="630" t="s">
        <v>5071</v>
      </c>
      <c r="AC25" s="631" t="s">
        <v>5072</v>
      </c>
      <c r="AD25" s="631" t="s">
        <v>5073</v>
      </c>
      <c r="AF25" s="629" t="s">
        <v>3805</v>
      </c>
      <c r="AG25" s="630" t="s">
        <v>5071</v>
      </c>
      <c r="AH25" s="631" t="s">
        <v>5072</v>
      </c>
      <c r="AI25" s="631" t="s">
        <v>5073</v>
      </c>
      <c r="AK25" s="629" t="s">
        <v>3805</v>
      </c>
      <c r="AL25" s="630" t="s">
        <v>5071</v>
      </c>
      <c r="AM25" s="631" t="s">
        <v>5072</v>
      </c>
      <c r="AN25" s="631" t="s">
        <v>5073</v>
      </c>
      <c r="AP25" s="629" t="s">
        <v>3805</v>
      </c>
      <c r="AQ25" s="630" t="s">
        <v>5071</v>
      </c>
      <c r="AR25" s="631" t="s">
        <v>5072</v>
      </c>
      <c r="AS25" s="631" t="s">
        <v>5073</v>
      </c>
      <c r="AU25" s="629" t="s">
        <v>3805</v>
      </c>
      <c r="AV25" s="630" t="s">
        <v>5071</v>
      </c>
      <c r="AW25" s="631" t="s">
        <v>5072</v>
      </c>
      <c r="AX25" s="631" t="s">
        <v>5073</v>
      </c>
      <c r="AZ25" s="629" t="s">
        <v>3805</v>
      </c>
      <c r="BA25" s="630" t="s">
        <v>5071</v>
      </c>
      <c r="BB25" s="631" t="s">
        <v>5072</v>
      </c>
      <c r="BC25" s="631" t="s">
        <v>5073</v>
      </c>
      <c r="BE25" s="629" t="s">
        <v>3805</v>
      </c>
      <c r="BF25" s="630" t="s">
        <v>5071</v>
      </c>
      <c r="BG25" s="631" t="s">
        <v>5072</v>
      </c>
      <c r="BH25" s="631" t="s">
        <v>5073</v>
      </c>
      <c r="BJ25" s="629" t="s">
        <v>3805</v>
      </c>
      <c r="BK25" s="630" t="s">
        <v>5071</v>
      </c>
      <c r="BL25" s="631" t="s">
        <v>5072</v>
      </c>
      <c r="BM25" s="631" t="s">
        <v>5073</v>
      </c>
      <c r="BO25" s="629" t="s">
        <v>3805</v>
      </c>
      <c r="BP25" s="630" t="s">
        <v>5071</v>
      </c>
      <c r="BQ25" s="631" t="s">
        <v>5072</v>
      </c>
      <c r="BR25" s="631" t="s">
        <v>5073</v>
      </c>
      <c r="BT25" s="629" t="s">
        <v>3805</v>
      </c>
      <c r="BU25" s="630" t="s">
        <v>5071</v>
      </c>
      <c r="BV25" s="631" t="s">
        <v>5072</v>
      </c>
      <c r="BW25" s="631" t="s">
        <v>5073</v>
      </c>
      <c r="BY25" s="629" t="s">
        <v>3805</v>
      </c>
      <c r="BZ25" s="630" t="s">
        <v>5071</v>
      </c>
      <c r="CA25" s="631" t="s">
        <v>5072</v>
      </c>
      <c r="CB25" s="631" t="s">
        <v>5073</v>
      </c>
      <c r="CD25" s="629" t="s">
        <v>3805</v>
      </c>
      <c r="CE25" s="630" t="s">
        <v>5071</v>
      </c>
      <c r="CF25" s="631" t="s">
        <v>5072</v>
      </c>
      <c r="CG25" s="631" t="s">
        <v>5073</v>
      </c>
      <c r="CI25" s="629" t="s">
        <v>3805</v>
      </c>
      <c r="CJ25" s="630" t="s">
        <v>5071</v>
      </c>
      <c r="CK25" s="631" t="s">
        <v>5072</v>
      </c>
      <c r="CL25" s="631" t="s">
        <v>5073</v>
      </c>
      <c r="CN25" s="629" t="s">
        <v>3805</v>
      </c>
      <c r="CO25" s="630" t="s">
        <v>5071</v>
      </c>
      <c r="CP25" s="631" t="s">
        <v>5072</v>
      </c>
      <c r="CQ25" s="631" t="s">
        <v>5073</v>
      </c>
      <c r="CS25" s="629" t="s">
        <v>3805</v>
      </c>
      <c r="CT25" s="630" t="s">
        <v>5071</v>
      </c>
      <c r="CU25" s="631" t="s">
        <v>5072</v>
      </c>
      <c r="CV25" s="631" t="s">
        <v>5073</v>
      </c>
    </row>
    <row r="26" spans="2:100" x14ac:dyDescent="0.25">
      <c r="B26" s="440" t="s">
        <v>3809</v>
      </c>
      <c r="C26" s="422">
        <v>0</v>
      </c>
      <c r="D26" s="422">
        <v>0</v>
      </c>
      <c r="E26" s="106">
        <f>UCs!C26+UCs!D26</f>
        <v>0</v>
      </c>
      <c r="G26" s="440" t="s">
        <v>3809</v>
      </c>
      <c r="H26" s="422">
        <v>0</v>
      </c>
      <c r="I26" s="422">
        <v>0</v>
      </c>
      <c r="J26" s="106">
        <f>UCs!H26+UCs!I26</f>
        <v>0</v>
      </c>
      <c r="L26" s="440" t="s">
        <v>3809</v>
      </c>
      <c r="M26" s="422">
        <v>0</v>
      </c>
      <c r="N26" s="422">
        <v>0</v>
      </c>
      <c r="O26" s="106">
        <f>UCs!M26+UCs!N26</f>
        <v>0</v>
      </c>
      <c r="Q26" s="440" t="s">
        <v>3809</v>
      </c>
      <c r="R26" s="422">
        <v>0</v>
      </c>
      <c r="S26" s="422">
        <v>0</v>
      </c>
      <c r="T26" s="106">
        <f>UCs!R26+UCs!S26</f>
        <v>0</v>
      </c>
      <c r="V26" s="440" t="s">
        <v>3809</v>
      </c>
      <c r="W26" s="422">
        <v>0</v>
      </c>
      <c r="X26" s="422">
        <v>0</v>
      </c>
      <c r="Y26" s="106">
        <f>UCs!W26+UCs!X26</f>
        <v>0</v>
      </c>
      <c r="AA26" s="440" t="s">
        <v>3809</v>
      </c>
      <c r="AB26" s="422">
        <v>0</v>
      </c>
      <c r="AC26" s="422">
        <v>0</v>
      </c>
      <c r="AD26" s="106">
        <f>UCs!AB26+UCs!AC26</f>
        <v>0</v>
      </c>
      <c r="AF26" s="440" t="s">
        <v>3809</v>
      </c>
      <c r="AG26" s="422">
        <v>0</v>
      </c>
      <c r="AH26" s="422">
        <v>0</v>
      </c>
      <c r="AI26" s="106">
        <f>UCs!AG26+UCs!AH26</f>
        <v>0</v>
      </c>
      <c r="AK26" s="440" t="s">
        <v>3809</v>
      </c>
      <c r="AL26" s="422">
        <v>0</v>
      </c>
      <c r="AM26" s="422">
        <v>0</v>
      </c>
      <c r="AN26" s="106">
        <f>UCs!AL26+UCs!AM26</f>
        <v>0</v>
      </c>
      <c r="AP26" s="440" t="s">
        <v>3809</v>
      </c>
      <c r="AQ26" s="422">
        <v>0</v>
      </c>
      <c r="AR26" s="422">
        <v>0</v>
      </c>
      <c r="AS26" s="106">
        <f>UCs!AQ26+UCs!AR26</f>
        <v>0</v>
      </c>
      <c r="AU26" s="440" t="s">
        <v>3809</v>
      </c>
      <c r="AV26" s="422">
        <v>0</v>
      </c>
      <c r="AW26" s="422">
        <v>0</v>
      </c>
      <c r="AX26" s="106">
        <f>UCs!AV26+UCs!AW26</f>
        <v>0</v>
      </c>
      <c r="AZ26" s="440" t="s">
        <v>3809</v>
      </c>
      <c r="BA26" s="422">
        <v>0</v>
      </c>
      <c r="BB26" s="422">
        <v>0</v>
      </c>
      <c r="BC26" s="106">
        <f>UCs!BA26+UCs!BB26</f>
        <v>0</v>
      </c>
      <c r="BE26" s="440" t="s">
        <v>3809</v>
      </c>
      <c r="BF26" s="422">
        <v>0</v>
      </c>
      <c r="BG26" s="422">
        <v>0</v>
      </c>
      <c r="BH26" s="106">
        <f>UCs!BF26+UCs!BG26</f>
        <v>0</v>
      </c>
      <c r="BJ26" s="440" t="s">
        <v>3809</v>
      </c>
      <c r="BK26" s="422">
        <v>0</v>
      </c>
      <c r="BL26" s="422">
        <v>0</v>
      </c>
      <c r="BM26" s="106">
        <f>UCs!BK26+UCs!BL26</f>
        <v>0</v>
      </c>
      <c r="BO26" s="440" t="s">
        <v>3809</v>
      </c>
      <c r="BP26" s="422">
        <v>0</v>
      </c>
      <c r="BQ26" s="422">
        <v>0</v>
      </c>
      <c r="BR26" s="106">
        <f>UCs!BP26+UCs!BQ26</f>
        <v>0</v>
      </c>
      <c r="BT26" s="440" t="s">
        <v>3809</v>
      </c>
      <c r="BU26" s="422">
        <v>0</v>
      </c>
      <c r="BV26" s="422">
        <v>0</v>
      </c>
      <c r="BW26" s="106">
        <f>UCs!BU26+UCs!BV26</f>
        <v>0</v>
      </c>
      <c r="BY26" s="440" t="s">
        <v>3809</v>
      </c>
      <c r="BZ26" s="422">
        <v>0</v>
      </c>
      <c r="CA26" s="422">
        <v>0</v>
      </c>
      <c r="CB26" s="106">
        <f>UCs!BZ26+UCs!CA26</f>
        <v>0</v>
      </c>
      <c r="CD26" s="440" t="s">
        <v>3809</v>
      </c>
      <c r="CE26" s="422">
        <v>0</v>
      </c>
      <c r="CF26" s="422">
        <v>0</v>
      </c>
      <c r="CG26" s="106">
        <f>UCs!CE26+UCs!CF26</f>
        <v>0</v>
      </c>
      <c r="CI26" s="440" t="s">
        <v>3809</v>
      </c>
      <c r="CJ26" s="422">
        <v>0</v>
      </c>
      <c r="CK26" s="422">
        <v>0</v>
      </c>
      <c r="CL26" s="106">
        <f>UCs!CJ26+UCs!CK26</f>
        <v>0</v>
      </c>
      <c r="CN26" s="440" t="s">
        <v>3809</v>
      </c>
      <c r="CO26" s="422">
        <v>0</v>
      </c>
      <c r="CP26" s="422">
        <v>0</v>
      </c>
      <c r="CQ26" s="106">
        <f>UCs!CO26+UCs!CP26</f>
        <v>0</v>
      </c>
      <c r="CS26" s="440" t="s">
        <v>3809</v>
      </c>
      <c r="CT26" s="422">
        <v>0</v>
      </c>
      <c r="CU26" s="422">
        <v>0</v>
      </c>
      <c r="CV26" s="106">
        <f>UCs!CT26+UCs!CU26</f>
        <v>0</v>
      </c>
    </row>
    <row r="27" spans="2:100" x14ac:dyDescent="0.25">
      <c r="B27" s="440" t="s">
        <v>3810</v>
      </c>
      <c r="C27" s="422">
        <v>0</v>
      </c>
      <c r="D27" s="422">
        <v>0</v>
      </c>
      <c r="E27" s="106">
        <f>UCs!C27+UCs!D27</f>
        <v>0</v>
      </c>
      <c r="G27" s="440" t="s">
        <v>3810</v>
      </c>
      <c r="H27" s="422">
        <v>0</v>
      </c>
      <c r="I27" s="422">
        <v>0</v>
      </c>
      <c r="J27" s="106">
        <f>UCs!H27+UCs!I27</f>
        <v>0</v>
      </c>
      <c r="L27" s="440" t="s">
        <v>3810</v>
      </c>
      <c r="M27" s="422">
        <v>0</v>
      </c>
      <c r="N27" s="422">
        <v>0</v>
      </c>
      <c r="O27" s="106">
        <f>UCs!M27+UCs!N27</f>
        <v>0</v>
      </c>
      <c r="Q27" s="440" t="s">
        <v>3810</v>
      </c>
      <c r="R27" s="422">
        <v>0</v>
      </c>
      <c r="S27" s="422">
        <v>0</v>
      </c>
      <c r="T27" s="106">
        <f>UCs!R27+UCs!S27</f>
        <v>0</v>
      </c>
      <c r="V27" s="440" t="s">
        <v>3810</v>
      </c>
      <c r="W27" s="422">
        <v>0</v>
      </c>
      <c r="X27" s="422">
        <v>0</v>
      </c>
      <c r="Y27" s="106">
        <f>UCs!W27+UCs!X27</f>
        <v>0</v>
      </c>
      <c r="AA27" s="440" t="s">
        <v>3810</v>
      </c>
      <c r="AB27" s="422">
        <v>0</v>
      </c>
      <c r="AC27" s="422">
        <v>0</v>
      </c>
      <c r="AD27" s="106">
        <f>UCs!AB27+UCs!AC27</f>
        <v>0</v>
      </c>
      <c r="AF27" s="440" t="s">
        <v>3810</v>
      </c>
      <c r="AG27" s="422">
        <v>0</v>
      </c>
      <c r="AH27" s="422">
        <v>0</v>
      </c>
      <c r="AI27" s="106">
        <f>UCs!AG27+UCs!AH27</f>
        <v>0</v>
      </c>
      <c r="AK27" s="440" t="s">
        <v>3810</v>
      </c>
      <c r="AL27" s="422">
        <v>0</v>
      </c>
      <c r="AM27" s="422">
        <v>0</v>
      </c>
      <c r="AN27" s="106">
        <f>UCs!AL27+UCs!AM27</f>
        <v>0</v>
      </c>
      <c r="AP27" s="440" t="s">
        <v>3810</v>
      </c>
      <c r="AQ27" s="422">
        <v>0</v>
      </c>
      <c r="AR27" s="422">
        <v>0</v>
      </c>
      <c r="AS27" s="106">
        <f>UCs!AQ27+UCs!AR27</f>
        <v>0</v>
      </c>
      <c r="AU27" s="440" t="s">
        <v>3810</v>
      </c>
      <c r="AV27" s="422">
        <v>0</v>
      </c>
      <c r="AW27" s="422">
        <v>0</v>
      </c>
      <c r="AX27" s="106">
        <f>UCs!AV27+UCs!AW27</f>
        <v>0</v>
      </c>
      <c r="AZ27" s="440" t="s">
        <v>3810</v>
      </c>
      <c r="BA27" s="422">
        <v>0</v>
      </c>
      <c r="BB27" s="422">
        <v>0</v>
      </c>
      <c r="BC27" s="106">
        <f>UCs!BA27+UCs!BB27</f>
        <v>0</v>
      </c>
      <c r="BE27" s="440" t="s">
        <v>3810</v>
      </c>
      <c r="BF27" s="422">
        <v>0</v>
      </c>
      <c r="BG27" s="422">
        <v>0</v>
      </c>
      <c r="BH27" s="106">
        <f>UCs!BF27+UCs!BG27</f>
        <v>0</v>
      </c>
      <c r="BJ27" s="440" t="s">
        <v>3810</v>
      </c>
      <c r="BK27" s="422">
        <v>0</v>
      </c>
      <c r="BL27" s="422">
        <v>0</v>
      </c>
      <c r="BM27" s="106">
        <f>UCs!BK27+UCs!BL27</f>
        <v>0</v>
      </c>
      <c r="BO27" s="440" t="s">
        <v>3810</v>
      </c>
      <c r="BP27" s="422">
        <v>0</v>
      </c>
      <c r="BQ27" s="422">
        <v>0</v>
      </c>
      <c r="BR27" s="106">
        <f>UCs!BP27+UCs!BQ27</f>
        <v>0</v>
      </c>
      <c r="BT27" s="440" t="s">
        <v>3810</v>
      </c>
      <c r="BU27" s="422">
        <v>0</v>
      </c>
      <c r="BV27" s="422">
        <v>0</v>
      </c>
      <c r="BW27" s="106">
        <f>UCs!BU27+UCs!BV27</f>
        <v>0</v>
      </c>
      <c r="BY27" s="440" t="s">
        <v>3810</v>
      </c>
      <c r="BZ27" s="422">
        <v>0</v>
      </c>
      <c r="CA27" s="422">
        <v>0</v>
      </c>
      <c r="CB27" s="106">
        <f>UCs!BZ27+UCs!CA27</f>
        <v>0</v>
      </c>
      <c r="CD27" s="440" t="s">
        <v>3810</v>
      </c>
      <c r="CE27" s="422">
        <v>0</v>
      </c>
      <c r="CF27" s="422">
        <v>0</v>
      </c>
      <c r="CG27" s="106">
        <f>UCs!CE27+UCs!CF27</f>
        <v>0</v>
      </c>
      <c r="CI27" s="440" t="s">
        <v>3810</v>
      </c>
      <c r="CJ27" s="422">
        <v>0</v>
      </c>
      <c r="CK27" s="422">
        <v>0</v>
      </c>
      <c r="CL27" s="106">
        <f>UCs!CJ27+UCs!CK27</f>
        <v>0</v>
      </c>
      <c r="CN27" s="440" t="s">
        <v>3810</v>
      </c>
      <c r="CO27" s="422">
        <v>0</v>
      </c>
      <c r="CP27" s="422">
        <v>0</v>
      </c>
      <c r="CQ27" s="106">
        <f>UCs!CO27+UCs!CP27</f>
        <v>0</v>
      </c>
      <c r="CS27" s="440" t="s">
        <v>3810</v>
      </c>
      <c r="CT27" s="422">
        <v>0</v>
      </c>
      <c r="CU27" s="422">
        <v>0</v>
      </c>
      <c r="CV27" s="106">
        <f>UCs!CT27+UCs!CU27</f>
        <v>0</v>
      </c>
    </row>
    <row r="28" spans="2:100" x14ac:dyDescent="0.25">
      <c r="B28" s="440" t="s">
        <v>3811</v>
      </c>
      <c r="C28" s="422">
        <v>0</v>
      </c>
      <c r="D28" s="422">
        <v>0</v>
      </c>
      <c r="E28" s="106">
        <f>UCs!C28+UCs!D28</f>
        <v>0</v>
      </c>
      <c r="G28" s="440" t="s">
        <v>3811</v>
      </c>
      <c r="H28" s="422">
        <v>0</v>
      </c>
      <c r="I28" s="422">
        <v>0</v>
      </c>
      <c r="J28" s="106">
        <f>UCs!H28+UCs!I28</f>
        <v>0</v>
      </c>
      <c r="L28" s="440" t="s">
        <v>3811</v>
      </c>
      <c r="M28" s="422">
        <v>0</v>
      </c>
      <c r="N28" s="422">
        <v>0</v>
      </c>
      <c r="O28" s="106">
        <f>UCs!M28+UCs!N28</f>
        <v>0</v>
      </c>
      <c r="Q28" s="440" t="s">
        <v>3811</v>
      </c>
      <c r="R28" s="422">
        <v>0</v>
      </c>
      <c r="S28" s="422">
        <v>0</v>
      </c>
      <c r="T28" s="106">
        <f>UCs!R28+UCs!S28</f>
        <v>0</v>
      </c>
      <c r="V28" s="440" t="s">
        <v>3811</v>
      </c>
      <c r="W28" s="422">
        <v>0</v>
      </c>
      <c r="X28" s="422">
        <v>0</v>
      </c>
      <c r="Y28" s="106">
        <f>UCs!W28+UCs!X28</f>
        <v>0</v>
      </c>
      <c r="AA28" s="440" t="s">
        <v>3811</v>
      </c>
      <c r="AB28" s="422">
        <v>0</v>
      </c>
      <c r="AC28" s="422">
        <v>0</v>
      </c>
      <c r="AD28" s="106">
        <f>UCs!AB28+UCs!AC28</f>
        <v>0</v>
      </c>
      <c r="AF28" s="440" t="s">
        <v>3811</v>
      </c>
      <c r="AG28" s="422">
        <v>0</v>
      </c>
      <c r="AH28" s="422">
        <v>0</v>
      </c>
      <c r="AI28" s="106">
        <f>UCs!AG28+UCs!AH28</f>
        <v>0</v>
      </c>
      <c r="AK28" s="440" t="s">
        <v>3811</v>
      </c>
      <c r="AL28" s="422">
        <v>0</v>
      </c>
      <c r="AM28" s="422">
        <v>0</v>
      </c>
      <c r="AN28" s="106">
        <f>UCs!AL28+UCs!AM28</f>
        <v>0</v>
      </c>
      <c r="AP28" s="440" t="s">
        <v>3811</v>
      </c>
      <c r="AQ28" s="422">
        <v>0</v>
      </c>
      <c r="AR28" s="422">
        <v>0</v>
      </c>
      <c r="AS28" s="106">
        <f>UCs!AQ28+UCs!AR28</f>
        <v>0</v>
      </c>
      <c r="AU28" s="440" t="s">
        <v>3811</v>
      </c>
      <c r="AV28" s="422">
        <v>0</v>
      </c>
      <c r="AW28" s="422">
        <v>0</v>
      </c>
      <c r="AX28" s="106">
        <f>UCs!AV28+UCs!AW28</f>
        <v>0</v>
      </c>
      <c r="AZ28" s="440" t="s">
        <v>3811</v>
      </c>
      <c r="BA28" s="422">
        <v>0</v>
      </c>
      <c r="BB28" s="422">
        <v>0</v>
      </c>
      <c r="BC28" s="106">
        <f>UCs!BA28+UCs!BB28</f>
        <v>0</v>
      </c>
      <c r="BE28" s="440" t="s">
        <v>3811</v>
      </c>
      <c r="BF28" s="422">
        <v>0</v>
      </c>
      <c r="BG28" s="422">
        <v>0</v>
      </c>
      <c r="BH28" s="106">
        <f>UCs!BF28+UCs!BG28</f>
        <v>0</v>
      </c>
      <c r="BJ28" s="440" t="s">
        <v>3811</v>
      </c>
      <c r="BK28" s="422">
        <v>0</v>
      </c>
      <c r="BL28" s="422">
        <v>0</v>
      </c>
      <c r="BM28" s="106">
        <f>UCs!BK28+UCs!BL28</f>
        <v>0</v>
      </c>
      <c r="BO28" s="440" t="s">
        <v>3811</v>
      </c>
      <c r="BP28" s="422">
        <v>0</v>
      </c>
      <c r="BQ28" s="422">
        <v>0</v>
      </c>
      <c r="BR28" s="106">
        <f>UCs!BP28+UCs!BQ28</f>
        <v>0</v>
      </c>
      <c r="BT28" s="440" t="s">
        <v>3811</v>
      </c>
      <c r="BU28" s="422">
        <v>0</v>
      </c>
      <c r="BV28" s="422">
        <v>0</v>
      </c>
      <c r="BW28" s="106">
        <f>UCs!BU28+UCs!BV28</f>
        <v>0</v>
      </c>
      <c r="BY28" s="440" t="s">
        <v>3811</v>
      </c>
      <c r="BZ28" s="422">
        <v>0</v>
      </c>
      <c r="CA28" s="422">
        <v>0</v>
      </c>
      <c r="CB28" s="106">
        <f>UCs!BZ28+UCs!CA28</f>
        <v>0</v>
      </c>
      <c r="CD28" s="440" t="s">
        <v>3811</v>
      </c>
      <c r="CE28" s="422">
        <v>0</v>
      </c>
      <c r="CF28" s="422">
        <v>0</v>
      </c>
      <c r="CG28" s="106">
        <f>UCs!CE28+UCs!CF28</f>
        <v>0</v>
      </c>
      <c r="CI28" s="440" t="s">
        <v>3811</v>
      </c>
      <c r="CJ28" s="422">
        <v>0</v>
      </c>
      <c r="CK28" s="422">
        <v>0</v>
      </c>
      <c r="CL28" s="106">
        <f>UCs!CJ28+UCs!CK28</f>
        <v>0</v>
      </c>
      <c r="CN28" s="440" t="s">
        <v>3811</v>
      </c>
      <c r="CO28" s="422">
        <v>0</v>
      </c>
      <c r="CP28" s="422">
        <v>0</v>
      </c>
      <c r="CQ28" s="106">
        <f>UCs!CO28+UCs!CP28</f>
        <v>0</v>
      </c>
      <c r="CS28" s="440" t="s">
        <v>3811</v>
      </c>
      <c r="CT28" s="422">
        <v>0</v>
      </c>
      <c r="CU28" s="422">
        <v>0</v>
      </c>
      <c r="CV28" s="106">
        <f>UCs!CT28+UCs!CU28</f>
        <v>0</v>
      </c>
    </row>
    <row r="29" spans="2:100" x14ac:dyDescent="0.25">
      <c r="B29" s="440" t="s">
        <v>3812</v>
      </c>
      <c r="C29" s="422">
        <v>0</v>
      </c>
      <c r="D29" s="422">
        <v>0</v>
      </c>
      <c r="E29" s="106">
        <f>UCs!C29+UCs!D29</f>
        <v>0</v>
      </c>
      <c r="G29" s="440" t="s">
        <v>3812</v>
      </c>
      <c r="H29" s="422">
        <v>0</v>
      </c>
      <c r="I29" s="422">
        <v>0</v>
      </c>
      <c r="J29" s="106">
        <f>UCs!H29+UCs!I29</f>
        <v>0</v>
      </c>
      <c r="L29" s="440" t="s">
        <v>3812</v>
      </c>
      <c r="M29" s="422">
        <v>0</v>
      </c>
      <c r="N29" s="422">
        <v>0</v>
      </c>
      <c r="O29" s="106">
        <f>UCs!M29+UCs!N29</f>
        <v>0</v>
      </c>
      <c r="Q29" s="440" t="s">
        <v>3812</v>
      </c>
      <c r="R29" s="422">
        <v>0</v>
      </c>
      <c r="S29" s="422">
        <v>0</v>
      </c>
      <c r="T29" s="106">
        <f>UCs!R29+UCs!S29</f>
        <v>0</v>
      </c>
      <c r="V29" s="440" t="s">
        <v>3812</v>
      </c>
      <c r="W29" s="422">
        <v>0</v>
      </c>
      <c r="X29" s="422">
        <v>0</v>
      </c>
      <c r="Y29" s="106">
        <f>UCs!W29+UCs!X29</f>
        <v>0</v>
      </c>
      <c r="AA29" s="440" t="s">
        <v>3812</v>
      </c>
      <c r="AB29" s="422">
        <v>0</v>
      </c>
      <c r="AC29" s="422">
        <v>0</v>
      </c>
      <c r="AD29" s="106">
        <f>UCs!AB29+UCs!AC29</f>
        <v>0</v>
      </c>
      <c r="AF29" s="440" t="s">
        <v>3812</v>
      </c>
      <c r="AG29" s="422">
        <v>0</v>
      </c>
      <c r="AH29" s="422">
        <v>0</v>
      </c>
      <c r="AI29" s="106">
        <f>UCs!AG29+UCs!AH29</f>
        <v>0</v>
      </c>
      <c r="AK29" s="440" t="s">
        <v>3812</v>
      </c>
      <c r="AL29" s="422">
        <v>0</v>
      </c>
      <c r="AM29" s="422">
        <v>0</v>
      </c>
      <c r="AN29" s="106">
        <f>UCs!AL29+UCs!AM29</f>
        <v>0</v>
      </c>
      <c r="AP29" s="440" t="s">
        <v>3812</v>
      </c>
      <c r="AQ29" s="422">
        <v>0</v>
      </c>
      <c r="AR29" s="422">
        <v>0</v>
      </c>
      <c r="AS29" s="106">
        <f>UCs!AQ29+UCs!AR29</f>
        <v>0</v>
      </c>
      <c r="AU29" s="440" t="s">
        <v>3812</v>
      </c>
      <c r="AV29" s="422">
        <v>0</v>
      </c>
      <c r="AW29" s="422">
        <v>0</v>
      </c>
      <c r="AX29" s="106">
        <f>UCs!AV29+UCs!AW29</f>
        <v>0</v>
      </c>
      <c r="AZ29" s="440" t="s">
        <v>3812</v>
      </c>
      <c r="BA29" s="422">
        <v>0</v>
      </c>
      <c r="BB29" s="422">
        <v>0</v>
      </c>
      <c r="BC29" s="106">
        <f>UCs!BA29+UCs!BB29</f>
        <v>0</v>
      </c>
      <c r="BE29" s="440" t="s">
        <v>3812</v>
      </c>
      <c r="BF29" s="422">
        <v>0</v>
      </c>
      <c r="BG29" s="422">
        <v>0</v>
      </c>
      <c r="BH29" s="106">
        <f>UCs!BF29+UCs!BG29</f>
        <v>0</v>
      </c>
      <c r="BJ29" s="440" t="s">
        <v>3812</v>
      </c>
      <c r="BK29" s="422">
        <v>0</v>
      </c>
      <c r="BL29" s="422">
        <v>0</v>
      </c>
      <c r="BM29" s="106">
        <f>UCs!BK29+UCs!BL29</f>
        <v>0</v>
      </c>
      <c r="BO29" s="440" t="s">
        <v>3812</v>
      </c>
      <c r="BP29" s="422">
        <v>0</v>
      </c>
      <c r="BQ29" s="422">
        <v>0</v>
      </c>
      <c r="BR29" s="106">
        <f>UCs!BP29+UCs!BQ29</f>
        <v>0</v>
      </c>
      <c r="BT29" s="440" t="s">
        <v>3812</v>
      </c>
      <c r="BU29" s="422">
        <v>0</v>
      </c>
      <c r="BV29" s="422">
        <v>0</v>
      </c>
      <c r="BW29" s="106">
        <f>UCs!BU29+UCs!BV29</f>
        <v>0</v>
      </c>
      <c r="BY29" s="440" t="s">
        <v>3812</v>
      </c>
      <c r="BZ29" s="422">
        <v>0</v>
      </c>
      <c r="CA29" s="422">
        <v>0</v>
      </c>
      <c r="CB29" s="106">
        <f>UCs!BZ29+UCs!CA29</f>
        <v>0</v>
      </c>
      <c r="CD29" s="440" t="s">
        <v>3812</v>
      </c>
      <c r="CE29" s="422">
        <v>0</v>
      </c>
      <c r="CF29" s="422">
        <v>0</v>
      </c>
      <c r="CG29" s="106">
        <f>UCs!CE29+UCs!CF29</f>
        <v>0</v>
      </c>
      <c r="CI29" s="440" t="s">
        <v>3812</v>
      </c>
      <c r="CJ29" s="422">
        <v>0</v>
      </c>
      <c r="CK29" s="422">
        <v>0</v>
      </c>
      <c r="CL29" s="106">
        <f>UCs!CJ29+UCs!CK29</f>
        <v>0</v>
      </c>
      <c r="CN29" s="440" t="s">
        <v>3812</v>
      </c>
      <c r="CO29" s="422">
        <v>0</v>
      </c>
      <c r="CP29" s="422">
        <v>0</v>
      </c>
      <c r="CQ29" s="106">
        <f>UCs!CO29+UCs!CP29</f>
        <v>0</v>
      </c>
      <c r="CS29" s="440" t="s">
        <v>3812</v>
      </c>
      <c r="CT29" s="422">
        <v>0</v>
      </c>
      <c r="CU29" s="422">
        <v>0</v>
      </c>
      <c r="CV29" s="106">
        <f>UCs!CT29+UCs!CU29</f>
        <v>0</v>
      </c>
    </row>
    <row r="30" spans="2:100" x14ac:dyDescent="0.25">
      <c r="B30" s="440" t="s">
        <v>3813</v>
      </c>
      <c r="C30" s="422">
        <v>0</v>
      </c>
      <c r="D30" s="422">
        <v>0</v>
      </c>
      <c r="E30" s="106">
        <f>UCs!C30+UCs!D30</f>
        <v>0</v>
      </c>
      <c r="G30" s="440" t="s">
        <v>3813</v>
      </c>
      <c r="H30" s="422">
        <v>0</v>
      </c>
      <c r="I30" s="422">
        <v>0</v>
      </c>
      <c r="J30" s="106">
        <f>UCs!H30+UCs!I30</f>
        <v>0</v>
      </c>
      <c r="L30" s="440" t="s">
        <v>3813</v>
      </c>
      <c r="M30" s="422">
        <v>0</v>
      </c>
      <c r="N30" s="422">
        <v>0</v>
      </c>
      <c r="O30" s="106">
        <f>UCs!M30+UCs!N30</f>
        <v>0</v>
      </c>
      <c r="Q30" s="440" t="s">
        <v>3813</v>
      </c>
      <c r="R30" s="422">
        <v>0</v>
      </c>
      <c r="S30" s="422">
        <v>0</v>
      </c>
      <c r="T30" s="106">
        <f>UCs!R30+UCs!S30</f>
        <v>0</v>
      </c>
      <c r="V30" s="440" t="s">
        <v>3813</v>
      </c>
      <c r="W30" s="422">
        <v>0</v>
      </c>
      <c r="X30" s="422">
        <v>0</v>
      </c>
      <c r="Y30" s="106">
        <f>UCs!W30+UCs!X30</f>
        <v>0</v>
      </c>
      <c r="AA30" s="440" t="s">
        <v>3813</v>
      </c>
      <c r="AB30" s="422">
        <v>0</v>
      </c>
      <c r="AC30" s="422">
        <v>0</v>
      </c>
      <c r="AD30" s="106">
        <f>UCs!AB30+UCs!AC30</f>
        <v>0</v>
      </c>
      <c r="AF30" s="440" t="s">
        <v>3813</v>
      </c>
      <c r="AG30" s="422">
        <v>0</v>
      </c>
      <c r="AH30" s="422">
        <v>0</v>
      </c>
      <c r="AI30" s="106">
        <f>UCs!AG30+UCs!AH30</f>
        <v>0</v>
      </c>
      <c r="AK30" s="440" t="s">
        <v>3813</v>
      </c>
      <c r="AL30" s="422">
        <v>0</v>
      </c>
      <c r="AM30" s="422">
        <v>0</v>
      </c>
      <c r="AN30" s="106">
        <f>UCs!AL30+UCs!AM30</f>
        <v>0</v>
      </c>
      <c r="AP30" s="440" t="s">
        <v>3813</v>
      </c>
      <c r="AQ30" s="422">
        <v>0</v>
      </c>
      <c r="AR30" s="422">
        <v>0</v>
      </c>
      <c r="AS30" s="106">
        <f>UCs!AQ30+UCs!AR30</f>
        <v>0</v>
      </c>
      <c r="AU30" s="440" t="s">
        <v>3813</v>
      </c>
      <c r="AV30" s="422">
        <v>0</v>
      </c>
      <c r="AW30" s="422">
        <v>0</v>
      </c>
      <c r="AX30" s="106">
        <f>UCs!AV30+UCs!AW30</f>
        <v>0</v>
      </c>
      <c r="AZ30" s="440" t="s">
        <v>3813</v>
      </c>
      <c r="BA30" s="422">
        <v>0</v>
      </c>
      <c r="BB30" s="422">
        <v>0</v>
      </c>
      <c r="BC30" s="106">
        <f>UCs!BA30+UCs!BB30</f>
        <v>0</v>
      </c>
      <c r="BE30" s="440" t="s">
        <v>3813</v>
      </c>
      <c r="BF30" s="422">
        <v>0</v>
      </c>
      <c r="BG30" s="422">
        <v>0</v>
      </c>
      <c r="BH30" s="106">
        <f>UCs!BF30+UCs!BG30</f>
        <v>0</v>
      </c>
      <c r="BJ30" s="440" t="s">
        <v>3813</v>
      </c>
      <c r="BK30" s="422">
        <v>0</v>
      </c>
      <c r="BL30" s="422">
        <v>0</v>
      </c>
      <c r="BM30" s="106">
        <f>UCs!BK30+UCs!BL30</f>
        <v>0</v>
      </c>
      <c r="BO30" s="440" t="s">
        <v>3813</v>
      </c>
      <c r="BP30" s="422">
        <v>0</v>
      </c>
      <c r="BQ30" s="422">
        <v>0</v>
      </c>
      <c r="BR30" s="106">
        <f>UCs!BP30+UCs!BQ30</f>
        <v>0</v>
      </c>
      <c r="BT30" s="440" t="s">
        <v>3813</v>
      </c>
      <c r="BU30" s="422">
        <v>0</v>
      </c>
      <c r="BV30" s="422">
        <v>0</v>
      </c>
      <c r="BW30" s="106">
        <f>UCs!BU30+UCs!BV30</f>
        <v>0</v>
      </c>
      <c r="BY30" s="440" t="s">
        <v>3813</v>
      </c>
      <c r="BZ30" s="422">
        <v>0</v>
      </c>
      <c r="CA30" s="422">
        <v>0</v>
      </c>
      <c r="CB30" s="106">
        <f>UCs!BZ30+UCs!CA30</f>
        <v>0</v>
      </c>
      <c r="CD30" s="440" t="s">
        <v>3813</v>
      </c>
      <c r="CE30" s="422">
        <v>0</v>
      </c>
      <c r="CF30" s="422">
        <v>0</v>
      </c>
      <c r="CG30" s="106">
        <f>UCs!CE30+UCs!CF30</f>
        <v>0</v>
      </c>
      <c r="CI30" s="440" t="s">
        <v>3813</v>
      </c>
      <c r="CJ30" s="422">
        <v>0</v>
      </c>
      <c r="CK30" s="422">
        <v>0</v>
      </c>
      <c r="CL30" s="106">
        <f>UCs!CJ30+UCs!CK30</f>
        <v>0</v>
      </c>
      <c r="CN30" s="440" t="s">
        <v>3813</v>
      </c>
      <c r="CO30" s="422">
        <v>0</v>
      </c>
      <c r="CP30" s="422">
        <v>0</v>
      </c>
      <c r="CQ30" s="106">
        <f>UCs!CO30+UCs!CP30</f>
        <v>0</v>
      </c>
      <c r="CS30" s="440" t="s">
        <v>3813</v>
      </c>
      <c r="CT30" s="422">
        <v>0</v>
      </c>
      <c r="CU30" s="422">
        <v>0</v>
      </c>
      <c r="CV30" s="106">
        <f>UCs!CT30+UCs!CU30</f>
        <v>0</v>
      </c>
    </row>
    <row r="31" spans="2:100" x14ac:dyDescent="0.25">
      <c r="B31" s="440" t="s">
        <v>3814</v>
      </c>
      <c r="C31" s="422">
        <v>0</v>
      </c>
      <c r="D31" s="422">
        <v>0</v>
      </c>
      <c r="E31" s="106">
        <f>UCs!C31+UCs!D31</f>
        <v>0</v>
      </c>
      <c r="G31" s="440" t="s">
        <v>3814</v>
      </c>
      <c r="H31" s="422">
        <v>0</v>
      </c>
      <c r="I31" s="422">
        <v>0</v>
      </c>
      <c r="J31" s="106">
        <f>UCs!H31+UCs!I31</f>
        <v>0</v>
      </c>
      <c r="L31" s="440" t="s">
        <v>3814</v>
      </c>
      <c r="M31" s="422">
        <v>0</v>
      </c>
      <c r="N31" s="422">
        <v>0</v>
      </c>
      <c r="O31" s="106">
        <f>UCs!M31+UCs!N31</f>
        <v>0</v>
      </c>
      <c r="Q31" s="440" t="s">
        <v>3814</v>
      </c>
      <c r="R31" s="422">
        <v>0</v>
      </c>
      <c r="S31" s="422">
        <v>0</v>
      </c>
      <c r="T31" s="106">
        <f>UCs!R31+UCs!S31</f>
        <v>0</v>
      </c>
      <c r="V31" s="440" t="s">
        <v>3814</v>
      </c>
      <c r="W31" s="422">
        <v>0</v>
      </c>
      <c r="X31" s="422">
        <v>0</v>
      </c>
      <c r="Y31" s="106">
        <f>UCs!W31+UCs!X31</f>
        <v>0</v>
      </c>
      <c r="AA31" s="440" t="s">
        <v>3814</v>
      </c>
      <c r="AB31" s="422">
        <v>0</v>
      </c>
      <c r="AC31" s="422">
        <v>0</v>
      </c>
      <c r="AD31" s="106">
        <f>UCs!AB31+UCs!AC31</f>
        <v>0</v>
      </c>
      <c r="AF31" s="440" t="s">
        <v>3814</v>
      </c>
      <c r="AG31" s="422">
        <v>0</v>
      </c>
      <c r="AH31" s="422">
        <v>0</v>
      </c>
      <c r="AI31" s="106">
        <f>UCs!AG31+UCs!AH31</f>
        <v>0</v>
      </c>
      <c r="AK31" s="440" t="s">
        <v>3814</v>
      </c>
      <c r="AL31" s="422">
        <v>0</v>
      </c>
      <c r="AM31" s="422">
        <v>0</v>
      </c>
      <c r="AN31" s="106">
        <f>UCs!AL31+UCs!AM31</f>
        <v>0</v>
      </c>
      <c r="AP31" s="440" t="s">
        <v>3814</v>
      </c>
      <c r="AQ31" s="422">
        <v>0</v>
      </c>
      <c r="AR31" s="422">
        <v>0</v>
      </c>
      <c r="AS31" s="106">
        <f>UCs!AQ31+UCs!AR31</f>
        <v>0</v>
      </c>
      <c r="AU31" s="440" t="s">
        <v>3814</v>
      </c>
      <c r="AV31" s="422">
        <v>0</v>
      </c>
      <c r="AW31" s="422">
        <v>0</v>
      </c>
      <c r="AX31" s="106">
        <f>UCs!AV31+UCs!AW31</f>
        <v>0</v>
      </c>
      <c r="AZ31" s="440" t="s">
        <v>3814</v>
      </c>
      <c r="BA31" s="422">
        <v>0</v>
      </c>
      <c r="BB31" s="422">
        <v>0</v>
      </c>
      <c r="BC31" s="106">
        <f>UCs!BA31+UCs!BB31</f>
        <v>0</v>
      </c>
      <c r="BE31" s="440" t="s">
        <v>3814</v>
      </c>
      <c r="BF31" s="422">
        <v>0</v>
      </c>
      <c r="BG31" s="422">
        <v>0</v>
      </c>
      <c r="BH31" s="106">
        <f>UCs!BF31+UCs!BG31</f>
        <v>0</v>
      </c>
      <c r="BJ31" s="440" t="s">
        <v>3814</v>
      </c>
      <c r="BK31" s="422">
        <v>0</v>
      </c>
      <c r="BL31" s="422">
        <v>0</v>
      </c>
      <c r="BM31" s="106">
        <f>UCs!BK31+UCs!BL31</f>
        <v>0</v>
      </c>
      <c r="BO31" s="440" t="s">
        <v>3814</v>
      </c>
      <c r="BP31" s="422">
        <v>0</v>
      </c>
      <c r="BQ31" s="422">
        <v>0</v>
      </c>
      <c r="BR31" s="106">
        <f>UCs!BP31+UCs!BQ31</f>
        <v>0</v>
      </c>
      <c r="BT31" s="440" t="s">
        <v>3814</v>
      </c>
      <c r="BU31" s="422">
        <v>0</v>
      </c>
      <c r="BV31" s="422">
        <v>0</v>
      </c>
      <c r="BW31" s="106">
        <f>UCs!BU31+UCs!BV31</f>
        <v>0</v>
      </c>
      <c r="BY31" s="440" t="s">
        <v>3814</v>
      </c>
      <c r="BZ31" s="422">
        <v>0</v>
      </c>
      <c r="CA31" s="422">
        <v>0</v>
      </c>
      <c r="CB31" s="106">
        <f>UCs!BZ31+UCs!CA31</f>
        <v>0</v>
      </c>
      <c r="CD31" s="440" t="s">
        <v>3814</v>
      </c>
      <c r="CE31" s="422">
        <v>0</v>
      </c>
      <c r="CF31" s="422">
        <v>0</v>
      </c>
      <c r="CG31" s="106">
        <f>UCs!CE31+UCs!CF31</f>
        <v>0</v>
      </c>
      <c r="CI31" s="440" t="s">
        <v>3814</v>
      </c>
      <c r="CJ31" s="422">
        <v>0</v>
      </c>
      <c r="CK31" s="422">
        <v>0</v>
      </c>
      <c r="CL31" s="106">
        <f>UCs!CJ31+UCs!CK31</f>
        <v>0</v>
      </c>
      <c r="CN31" s="440" t="s">
        <v>3814</v>
      </c>
      <c r="CO31" s="422">
        <v>0</v>
      </c>
      <c r="CP31" s="422">
        <v>0</v>
      </c>
      <c r="CQ31" s="106">
        <f>UCs!CO31+UCs!CP31</f>
        <v>0</v>
      </c>
      <c r="CS31" s="440" t="s">
        <v>3814</v>
      </c>
      <c r="CT31" s="422">
        <v>0</v>
      </c>
      <c r="CU31" s="422">
        <v>0</v>
      </c>
      <c r="CV31" s="106">
        <f>UCs!CT31+UCs!CU31</f>
        <v>0</v>
      </c>
    </row>
    <row r="32" spans="2:100" x14ac:dyDescent="0.25">
      <c r="B32" s="440" t="s">
        <v>3815</v>
      </c>
      <c r="C32" s="422">
        <v>0</v>
      </c>
      <c r="D32" s="422">
        <v>0</v>
      </c>
      <c r="E32" s="106">
        <f>UCs!C32+UCs!D32</f>
        <v>0</v>
      </c>
      <c r="G32" s="440" t="s">
        <v>3815</v>
      </c>
      <c r="H32" s="422">
        <v>0</v>
      </c>
      <c r="I32" s="422">
        <v>0</v>
      </c>
      <c r="J32" s="106">
        <f>UCs!H32+UCs!I32</f>
        <v>0</v>
      </c>
      <c r="L32" s="440" t="s">
        <v>3815</v>
      </c>
      <c r="M32" s="422">
        <v>0</v>
      </c>
      <c r="N32" s="422">
        <v>0</v>
      </c>
      <c r="O32" s="106">
        <f>UCs!M32+UCs!N32</f>
        <v>0</v>
      </c>
      <c r="Q32" s="440" t="s">
        <v>3815</v>
      </c>
      <c r="R32" s="422">
        <v>0</v>
      </c>
      <c r="S32" s="422">
        <v>0</v>
      </c>
      <c r="T32" s="106">
        <f>UCs!R32+UCs!S32</f>
        <v>0</v>
      </c>
      <c r="V32" s="440" t="s">
        <v>3815</v>
      </c>
      <c r="W32" s="422">
        <v>0</v>
      </c>
      <c r="X32" s="422">
        <v>0</v>
      </c>
      <c r="Y32" s="106">
        <f>UCs!W32+UCs!X32</f>
        <v>0</v>
      </c>
      <c r="AA32" s="440" t="s">
        <v>3815</v>
      </c>
      <c r="AB32" s="422">
        <v>0</v>
      </c>
      <c r="AC32" s="422">
        <v>0</v>
      </c>
      <c r="AD32" s="106">
        <f>UCs!AB32+UCs!AC32</f>
        <v>0</v>
      </c>
      <c r="AF32" s="440" t="s">
        <v>3815</v>
      </c>
      <c r="AG32" s="422">
        <v>0</v>
      </c>
      <c r="AH32" s="422">
        <v>0</v>
      </c>
      <c r="AI32" s="106">
        <f>UCs!AG32+UCs!AH32</f>
        <v>0</v>
      </c>
      <c r="AK32" s="440" t="s">
        <v>3815</v>
      </c>
      <c r="AL32" s="422">
        <v>0</v>
      </c>
      <c r="AM32" s="422">
        <v>0</v>
      </c>
      <c r="AN32" s="106">
        <f>UCs!AL32+UCs!AM32</f>
        <v>0</v>
      </c>
      <c r="AP32" s="440" t="s">
        <v>3815</v>
      </c>
      <c r="AQ32" s="422">
        <v>0</v>
      </c>
      <c r="AR32" s="422">
        <v>0</v>
      </c>
      <c r="AS32" s="106">
        <f>UCs!AQ32+UCs!AR32</f>
        <v>0</v>
      </c>
      <c r="AU32" s="440" t="s">
        <v>3815</v>
      </c>
      <c r="AV32" s="422">
        <v>0</v>
      </c>
      <c r="AW32" s="422">
        <v>0</v>
      </c>
      <c r="AX32" s="106">
        <f>UCs!AV32+UCs!AW32</f>
        <v>0</v>
      </c>
      <c r="AZ32" s="440" t="s">
        <v>3815</v>
      </c>
      <c r="BA32" s="422">
        <v>0</v>
      </c>
      <c r="BB32" s="422">
        <v>0</v>
      </c>
      <c r="BC32" s="106">
        <f>UCs!BA32+UCs!BB32</f>
        <v>0</v>
      </c>
      <c r="BE32" s="440" t="s">
        <v>3815</v>
      </c>
      <c r="BF32" s="422">
        <v>0</v>
      </c>
      <c r="BG32" s="422">
        <v>0</v>
      </c>
      <c r="BH32" s="106">
        <f>UCs!BF32+UCs!BG32</f>
        <v>0</v>
      </c>
      <c r="BJ32" s="440" t="s">
        <v>3815</v>
      </c>
      <c r="BK32" s="422">
        <v>0</v>
      </c>
      <c r="BL32" s="422">
        <v>0</v>
      </c>
      <c r="BM32" s="106">
        <f>UCs!BK32+UCs!BL32</f>
        <v>0</v>
      </c>
      <c r="BO32" s="440" t="s">
        <v>3815</v>
      </c>
      <c r="BP32" s="422">
        <v>0</v>
      </c>
      <c r="BQ32" s="422">
        <v>0</v>
      </c>
      <c r="BR32" s="106">
        <f>UCs!BP32+UCs!BQ32</f>
        <v>0</v>
      </c>
      <c r="BT32" s="440" t="s">
        <v>3815</v>
      </c>
      <c r="BU32" s="422">
        <v>0</v>
      </c>
      <c r="BV32" s="422">
        <v>0</v>
      </c>
      <c r="BW32" s="106">
        <f>UCs!BU32+UCs!BV32</f>
        <v>0</v>
      </c>
      <c r="BY32" s="440" t="s">
        <v>3815</v>
      </c>
      <c r="BZ32" s="422">
        <v>0</v>
      </c>
      <c r="CA32" s="422">
        <v>0</v>
      </c>
      <c r="CB32" s="106">
        <f>UCs!BZ32+UCs!CA32</f>
        <v>0</v>
      </c>
      <c r="CD32" s="440" t="s">
        <v>3815</v>
      </c>
      <c r="CE32" s="422">
        <v>0</v>
      </c>
      <c r="CF32" s="422">
        <v>0</v>
      </c>
      <c r="CG32" s="106">
        <f>UCs!CE32+UCs!CF32</f>
        <v>0</v>
      </c>
      <c r="CI32" s="440" t="s">
        <v>3815</v>
      </c>
      <c r="CJ32" s="422">
        <v>0</v>
      </c>
      <c r="CK32" s="422">
        <v>0</v>
      </c>
      <c r="CL32" s="106">
        <f>UCs!CJ32+UCs!CK32</f>
        <v>0</v>
      </c>
      <c r="CN32" s="440" t="s">
        <v>3815</v>
      </c>
      <c r="CO32" s="422">
        <v>0</v>
      </c>
      <c r="CP32" s="422">
        <v>0</v>
      </c>
      <c r="CQ32" s="106">
        <f>UCs!CO32+UCs!CP32</f>
        <v>0</v>
      </c>
      <c r="CS32" s="440" t="s">
        <v>3815</v>
      </c>
      <c r="CT32" s="422">
        <v>0</v>
      </c>
      <c r="CU32" s="422">
        <v>0</v>
      </c>
      <c r="CV32" s="106">
        <f>UCs!CT32+UCs!CU32</f>
        <v>0</v>
      </c>
    </row>
    <row r="33" spans="2:100" x14ac:dyDescent="0.25">
      <c r="B33" s="440" t="s">
        <v>3816</v>
      </c>
      <c r="C33" s="422">
        <v>0</v>
      </c>
      <c r="D33" s="422">
        <v>0</v>
      </c>
      <c r="E33" s="106">
        <f>UCs!C33+UCs!D33</f>
        <v>0</v>
      </c>
      <c r="G33" s="440" t="s">
        <v>3816</v>
      </c>
      <c r="H33" s="422">
        <v>0</v>
      </c>
      <c r="I33" s="422">
        <v>0</v>
      </c>
      <c r="J33" s="106">
        <f>UCs!H33+UCs!I33</f>
        <v>0</v>
      </c>
      <c r="L33" s="440" t="s">
        <v>3816</v>
      </c>
      <c r="M33" s="422">
        <v>0</v>
      </c>
      <c r="N33" s="422">
        <v>0</v>
      </c>
      <c r="O33" s="106">
        <f>UCs!M33+UCs!N33</f>
        <v>0</v>
      </c>
      <c r="Q33" s="440" t="s">
        <v>3816</v>
      </c>
      <c r="R33" s="422">
        <v>0</v>
      </c>
      <c r="S33" s="422">
        <v>0</v>
      </c>
      <c r="T33" s="106">
        <f>UCs!R33+UCs!S33</f>
        <v>0</v>
      </c>
      <c r="V33" s="440" t="s">
        <v>3816</v>
      </c>
      <c r="W33" s="422">
        <v>0</v>
      </c>
      <c r="X33" s="422">
        <v>0</v>
      </c>
      <c r="Y33" s="106">
        <f>UCs!W33+UCs!X33</f>
        <v>0</v>
      </c>
      <c r="AA33" s="440" t="s">
        <v>3816</v>
      </c>
      <c r="AB33" s="422">
        <v>0</v>
      </c>
      <c r="AC33" s="422">
        <v>0</v>
      </c>
      <c r="AD33" s="106">
        <f>UCs!AB33+UCs!AC33</f>
        <v>0</v>
      </c>
      <c r="AF33" s="440" t="s">
        <v>3816</v>
      </c>
      <c r="AG33" s="422">
        <v>0</v>
      </c>
      <c r="AH33" s="422">
        <v>0</v>
      </c>
      <c r="AI33" s="106">
        <f>UCs!AG33+UCs!AH33</f>
        <v>0</v>
      </c>
      <c r="AK33" s="440" t="s">
        <v>3816</v>
      </c>
      <c r="AL33" s="422">
        <v>0</v>
      </c>
      <c r="AM33" s="422">
        <v>0</v>
      </c>
      <c r="AN33" s="106">
        <f>UCs!AL33+UCs!AM33</f>
        <v>0</v>
      </c>
      <c r="AP33" s="440" t="s">
        <v>3816</v>
      </c>
      <c r="AQ33" s="422">
        <v>0</v>
      </c>
      <c r="AR33" s="422">
        <v>0</v>
      </c>
      <c r="AS33" s="106">
        <f>UCs!AQ33+UCs!AR33</f>
        <v>0</v>
      </c>
      <c r="AU33" s="440" t="s">
        <v>3816</v>
      </c>
      <c r="AV33" s="422">
        <v>0</v>
      </c>
      <c r="AW33" s="422">
        <v>0</v>
      </c>
      <c r="AX33" s="106">
        <f>UCs!AV33+UCs!AW33</f>
        <v>0</v>
      </c>
      <c r="AZ33" s="440" t="s">
        <v>3816</v>
      </c>
      <c r="BA33" s="422">
        <v>0</v>
      </c>
      <c r="BB33" s="422">
        <v>0</v>
      </c>
      <c r="BC33" s="106">
        <f>UCs!BA33+UCs!BB33</f>
        <v>0</v>
      </c>
      <c r="BE33" s="440" t="s">
        <v>3816</v>
      </c>
      <c r="BF33" s="422">
        <v>0</v>
      </c>
      <c r="BG33" s="422">
        <v>0</v>
      </c>
      <c r="BH33" s="106">
        <f>UCs!BF33+UCs!BG33</f>
        <v>0</v>
      </c>
      <c r="BJ33" s="440" t="s">
        <v>3816</v>
      </c>
      <c r="BK33" s="422">
        <v>0</v>
      </c>
      <c r="BL33" s="422">
        <v>0</v>
      </c>
      <c r="BM33" s="106">
        <f>UCs!BK33+UCs!BL33</f>
        <v>0</v>
      </c>
      <c r="BO33" s="440" t="s">
        <v>3816</v>
      </c>
      <c r="BP33" s="422">
        <v>0</v>
      </c>
      <c r="BQ33" s="422">
        <v>0</v>
      </c>
      <c r="BR33" s="106">
        <f>UCs!BP33+UCs!BQ33</f>
        <v>0</v>
      </c>
      <c r="BT33" s="440" t="s">
        <v>3816</v>
      </c>
      <c r="BU33" s="422">
        <v>0</v>
      </c>
      <c r="BV33" s="422">
        <v>0</v>
      </c>
      <c r="BW33" s="106">
        <f>UCs!BU33+UCs!BV33</f>
        <v>0</v>
      </c>
      <c r="BY33" s="440" t="s">
        <v>3816</v>
      </c>
      <c r="BZ33" s="422">
        <v>0</v>
      </c>
      <c r="CA33" s="422">
        <v>0</v>
      </c>
      <c r="CB33" s="106">
        <f>UCs!BZ33+UCs!CA33</f>
        <v>0</v>
      </c>
      <c r="CD33" s="440" t="s">
        <v>3816</v>
      </c>
      <c r="CE33" s="422">
        <v>0</v>
      </c>
      <c r="CF33" s="422">
        <v>0</v>
      </c>
      <c r="CG33" s="106">
        <f>UCs!CE33+UCs!CF33</f>
        <v>0</v>
      </c>
      <c r="CI33" s="440" t="s">
        <v>3816</v>
      </c>
      <c r="CJ33" s="422">
        <v>0</v>
      </c>
      <c r="CK33" s="422">
        <v>0</v>
      </c>
      <c r="CL33" s="106">
        <f>UCs!CJ33+UCs!CK33</f>
        <v>0</v>
      </c>
      <c r="CN33" s="440" t="s">
        <v>3816</v>
      </c>
      <c r="CO33" s="422">
        <v>0</v>
      </c>
      <c r="CP33" s="422">
        <v>0</v>
      </c>
      <c r="CQ33" s="106">
        <f>UCs!CO33+UCs!CP33</f>
        <v>0</v>
      </c>
      <c r="CS33" s="440" t="s">
        <v>3816</v>
      </c>
      <c r="CT33" s="422">
        <v>0</v>
      </c>
      <c r="CU33" s="422">
        <v>0</v>
      </c>
      <c r="CV33" s="106">
        <f>UCs!CT33+UCs!CU33</f>
        <v>0</v>
      </c>
    </row>
    <row r="34" spans="2:100" x14ac:dyDescent="0.25">
      <c r="B34" s="440" t="s">
        <v>3817</v>
      </c>
      <c r="C34" s="422">
        <v>0</v>
      </c>
      <c r="D34" s="422">
        <v>0</v>
      </c>
      <c r="E34" s="106">
        <f>UCs!C34+UCs!D34</f>
        <v>0</v>
      </c>
      <c r="G34" s="440" t="s">
        <v>3817</v>
      </c>
      <c r="H34" s="422">
        <v>0</v>
      </c>
      <c r="I34" s="422">
        <v>0</v>
      </c>
      <c r="J34" s="106">
        <f>UCs!H34+UCs!I34</f>
        <v>0</v>
      </c>
      <c r="L34" s="440" t="s">
        <v>3817</v>
      </c>
      <c r="M34" s="422">
        <v>0</v>
      </c>
      <c r="N34" s="422">
        <v>0</v>
      </c>
      <c r="O34" s="106">
        <f>UCs!M34+UCs!N34</f>
        <v>0</v>
      </c>
      <c r="Q34" s="440" t="s">
        <v>3817</v>
      </c>
      <c r="R34" s="422">
        <v>0</v>
      </c>
      <c r="S34" s="422">
        <v>0</v>
      </c>
      <c r="T34" s="106">
        <f>UCs!R34+UCs!S34</f>
        <v>0</v>
      </c>
      <c r="V34" s="440" t="s">
        <v>3817</v>
      </c>
      <c r="W34" s="422">
        <v>0</v>
      </c>
      <c r="X34" s="422">
        <v>0</v>
      </c>
      <c r="Y34" s="106">
        <f>UCs!W34+UCs!X34</f>
        <v>0</v>
      </c>
      <c r="AA34" s="440" t="s">
        <v>3817</v>
      </c>
      <c r="AB34" s="422">
        <v>0</v>
      </c>
      <c r="AC34" s="422">
        <v>0</v>
      </c>
      <c r="AD34" s="106">
        <f>UCs!AB34+UCs!AC34</f>
        <v>0</v>
      </c>
      <c r="AF34" s="440" t="s">
        <v>3817</v>
      </c>
      <c r="AG34" s="422">
        <v>0</v>
      </c>
      <c r="AH34" s="422">
        <v>0</v>
      </c>
      <c r="AI34" s="106">
        <f>UCs!AG34+UCs!AH34</f>
        <v>0</v>
      </c>
      <c r="AK34" s="440" t="s">
        <v>3817</v>
      </c>
      <c r="AL34" s="422">
        <v>0</v>
      </c>
      <c r="AM34" s="422">
        <v>0</v>
      </c>
      <c r="AN34" s="106">
        <f>UCs!AL34+UCs!AM34</f>
        <v>0</v>
      </c>
      <c r="AP34" s="440" t="s">
        <v>3817</v>
      </c>
      <c r="AQ34" s="422">
        <v>0</v>
      </c>
      <c r="AR34" s="422">
        <v>0</v>
      </c>
      <c r="AS34" s="106">
        <f>UCs!AQ34+UCs!AR34</f>
        <v>0</v>
      </c>
      <c r="AU34" s="440" t="s">
        <v>3817</v>
      </c>
      <c r="AV34" s="422">
        <v>0</v>
      </c>
      <c r="AW34" s="422">
        <v>0</v>
      </c>
      <c r="AX34" s="106">
        <f>UCs!AV34+UCs!AW34</f>
        <v>0</v>
      </c>
      <c r="AZ34" s="440" t="s">
        <v>3817</v>
      </c>
      <c r="BA34" s="422">
        <v>0</v>
      </c>
      <c r="BB34" s="422">
        <v>0</v>
      </c>
      <c r="BC34" s="106">
        <f>UCs!BA34+UCs!BB34</f>
        <v>0</v>
      </c>
      <c r="BE34" s="440" t="s">
        <v>3817</v>
      </c>
      <c r="BF34" s="422">
        <v>0</v>
      </c>
      <c r="BG34" s="422">
        <v>0</v>
      </c>
      <c r="BH34" s="106">
        <f>UCs!BF34+UCs!BG34</f>
        <v>0</v>
      </c>
      <c r="BJ34" s="440" t="s">
        <v>3817</v>
      </c>
      <c r="BK34" s="422">
        <v>0</v>
      </c>
      <c r="BL34" s="422">
        <v>0</v>
      </c>
      <c r="BM34" s="106">
        <f>UCs!BK34+UCs!BL34</f>
        <v>0</v>
      </c>
      <c r="BO34" s="440" t="s">
        <v>3817</v>
      </c>
      <c r="BP34" s="422">
        <v>0</v>
      </c>
      <c r="BQ34" s="422">
        <v>0</v>
      </c>
      <c r="BR34" s="106">
        <f>UCs!BP34+UCs!BQ34</f>
        <v>0</v>
      </c>
      <c r="BT34" s="440" t="s">
        <v>3817</v>
      </c>
      <c r="BU34" s="422">
        <v>0</v>
      </c>
      <c r="BV34" s="422">
        <v>0</v>
      </c>
      <c r="BW34" s="106">
        <f>UCs!BU34+UCs!BV34</f>
        <v>0</v>
      </c>
      <c r="BY34" s="440" t="s">
        <v>3817</v>
      </c>
      <c r="BZ34" s="422">
        <v>0</v>
      </c>
      <c r="CA34" s="422">
        <v>0</v>
      </c>
      <c r="CB34" s="106">
        <f>UCs!BZ34+UCs!CA34</f>
        <v>0</v>
      </c>
      <c r="CD34" s="440" t="s">
        <v>3817</v>
      </c>
      <c r="CE34" s="422">
        <v>0</v>
      </c>
      <c r="CF34" s="422">
        <v>0</v>
      </c>
      <c r="CG34" s="106">
        <f>UCs!CE34+UCs!CF34</f>
        <v>0</v>
      </c>
      <c r="CI34" s="440" t="s">
        <v>3817</v>
      </c>
      <c r="CJ34" s="422">
        <v>0</v>
      </c>
      <c r="CK34" s="422">
        <v>0</v>
      </c>
      <c r="CL34" s="106">
        <f>UCs!CJ34+UCs!CK34</f>
        <v>0</v>
      </c>
      <c r="CN34" s="440" t="s">
        <v>3817</v>
      </c>
      <c r="CO34" s="422">
        <v>0</v>
      </c>
      <c r="CP34" s="422">
        <v>0</v>
      </c>
      <c r="CQ34" s="106">
        <f>UCs!CO34+UCs!CP34</f>
        <v>0</v>
      </c>
      <c r="CS34" s="440" t="s">
        <v>3817</v>
      </c>
      <c r="CT34" s="422">
        <v>0</v>
      </c>
      <c r="CU34" s="422">
        <v>0</v>
      </c>
      <c r="CV34" s="106">
        <f>UCs!CT34+UCs!CU34</f>
        <v>0</v>
      </c>
    </row>
    <row r="35" spans="2:100" x14ac:dyDescent="0.25">
      <c r="B35" s="440" t="s">
        <v>3818</v>
      </c>
      <c r="C35" s="422">
        <v>0</v>
      </c>
      <c r="D35" s="422">
        <v>0</v>
      </c>
      <c r="E35" s="106">
        <f>UCs!C35+UCs!D35</f>
        <v>0</v>
      </c>
      <c r="G35" s="440" t="s">
        <v>3818</v>
      </c>
      <c r="H35" s="422">
        <v>0</v>
      </c>
      <c r="I35" s="422">
        <v>0</v>
      </c>
      <c r="J35" s="106">
        <f>UCs!H35+UCs!I35</f>
        <v>0</v>
      </c>
      <c r="L35" s="440" t="s">
        <v>3818</v>
      </c>
      <c r="M35" s="422">
        <v>0</v>
      </c>
      <c r="N35" s="422">
        <v>0</v>
      </c>
      <c r="O35" s="106">
        <f>UCs!M35+UCs!N35</f>
        <v>0</v>
      </c>
      <c r="Q35" s="440" t="s">
        <v>3818</v>
      </c>
      <c r="R35" s="422">
        <v>0</v>
      </c>
      <c r="S35" s="422">
        <v>0</v>
      </c>
      <c r="T35" s="106">
        <f>UCs!R35+UCs!S35</f>
        <v>0</v>
      </c>
      <c r="V35" s="440" t="s">
        <v>3818</v>
      </c>
      <c r="W35" s="422">
        <v>0</v>
      </c>
      <c r="X35" s="422">
        <v>0</v>
      </c>
      <c r="Y35" s="106">
        <f>UCs!W35+UCs!X35</f>
        <v>0</v>
      </c>
      <c r="AA35" s="440" t="s">
        <v>3818</v>
      </c>
      <c r="AB35" s="422">
        <v>0</v>
      </c>
      <c r="AC35" s="422">
        <v>0</v>
      </c>
      <c r="AD35" s="106">
        <f>UCs!AB35+UCs!AC35</f>
        <v>0</v>
      </c>
      <c r="AF35" s="440" t="s">
        <v>3818</v>
      </c>
      <c r="AG35" s="422">
        <v>0</v>
      </c>
      <c r="AH35" s="422">
        <v>0</v>
      </c>
      <c r="AI35" s="106">
        <f>UCs!AG35+UCs!AH35</f>
        <v>0</v>
      </c>
      <c r="AK35" s="440" t="s">
        <v>3818</v>
      </c>
      <c r="AL35" s="422">
        <v>0</v>
      </c>
      <c r="AM35" s="422">
        <v>0</v>
      </c>
      <c r="AN35" s="106">
        <f>UCs!AL35+UCs!AM35</f>
        <v>0</v>
      </c>
      <c r="AP35" s="440" t="s">
        <v>3818</v>
      </c>
      <c r="AQ35" s="422">
        <v>0</v>
      </c>
      <c r="AR35" s="422">
        <v>0</v>
      </c>
      <c r="AS35" s="106">
        <f>UCs!AQ35+UCs!AR35</f>
        <v>0</v>
      </c>
      <c r="AU35" s="440" t="s">
        <v>3818</v>
      </c>
      <c r="AV35" s="422">
        <v>0</v>
      </c>
      <c r="AW35" s="422">
        <v>0</v>
      </c>
      <c r="AX35" s="106">
        <f>UCs!AV35+UCs!AW35</f>
        <v>0</v>
      </c>
      <c r="AZ35" s="440" t="s">
        <v>3818</v>
      </c>
      <c r="BA35" s="422">
        <v>0</v>
      </c>
      <c r="BB35" s="422">
        <v>0</v>
      </c>
      <c r="BC35" s="106">
        <f>UCs!BA35+UCs!BB35</f>
        <v>0</v>
      </c>
      <c r="BE35" s="440" t="s">
        <v>3818</v>
      </c>
      <c r="BF35" s="422">
        <v>0</v>
      </c>
      <c r="BG35" s="422">
        <v>0</v>
      </c>
      <c r="BH35" s="106">
        <f>UCs!BF35+UCs!BG35</f>
        <v>0</v>
      </c>
      <c r="BJ35" s="440" t="s">
        <v>3818</v>
      </c>
      <c r="BK35" s="422">
        <v>0</v>
      </c>
      <c r="BL35" s="422">
        <v>0</v>
      </c>
      <c r="BM35" s="106">
        <f>UCs!BK35+UCs!BL35</f>
        <v>0</v>
      </c>
      <c r="BO35" s="440" t="s">
        <v>3818</v>
      </c>
      <c r="BP35" s="422">
        <v>0</v>
      </c>
      <c r="BQ35" s="422">
        <v>0</v>
      </c>
      <c r="BR35" s="106">
        <f>UCs!BP35+UCs!BQ35</f>
        <v>0</v>
      </c>
      <c r="BT35" s="440" t="s">
        <v>3818</v>
      </c>
      <c r="BU35" s="422">
        <v>0</v>
      </c>
      <c r="BV35" s="422">
        <v>0</v>
      </c>
      <c r="BW35" s="106">
        <f>UCs!BU35+UCs!BV35</f>
        <v>0</v>
      </c>
      <c r="BY35" s="440" t="s">
        <v>3818</v>
      </c>
      <c r="BZ35" s="422">
        <v>0</v>
      </c>
      <c r="CA35" s="422">
        <v>0</v>
      </c>
      <c r="CB35" s="106">
        <f>UCs!BZ35+UCs!CA35</f>
        <v>0</v>
      </c>
      <c r="CD35" s="440" t="s">
        <v>3818</v>
      </c>
      <c r="CE35" s="422">
        <v>0</v>
      </c>
      <c r="CF35" s="422">
        <v>0</v>
      </c>
      <c r="CG35" s="106">
        <f>UCs!CE35+UCs!CF35</f>
        <v>0</v>
      </c>
      <c r="CI35" s="440" t="s">
        <v>3818</v>
      </c>
      <c r="CJ35" s="422">
        <v>0</v>
      </c>
      <c r="CK35" s="422">
        <v>0</v>
      </c>
      <c r="CL35" s="106">
        <f>UCs!CJ35+UCs!CK35</f>
        <v>0</v>
      </c>
      <c r="CN35" s="440" t="s">
        <v>3818</v>
      </c>
      <c r="CO35" s="422">
        <v>0</v>
      </c>
      <c r="CP35" s="422">
        <v>0</v>
      </c>
      <c r="CQ35" s="106">
        <f>UCs!CO35+UCs!CP35</f>
        <v>0</v>
      </c>
      <c r="CS35" s="440" t="s">
        <v>3818</v>
      </c>
      <c r="CT35" s="422">
        <v>0</v>
      </c>
      <c r="CU35" s="422">
        <v>0</v>
      </c>
      <c r="CV35" s="106">
        <f>UCs!CT35+UCs!CU35</f>
        <v>0</v>
      </c>
    </row>
    <row r="36" spans="2:100" x14ac:dyDescent="0.25">
      <c r="B36" s="440" t="s">
        <v>3819</v>
      </c>
      <c r="C36" s="422">
        <v>0</v>
      </c>
      <c r="D36" s="422">
        <v>0</v>
      </c>
      <c r="E36" s="106">
        <f>UCs!C36+UCs!D36</f>
        <v>0</v>
      </c>
      <c r="G36" s="440" t="s">
        <v>3819</v>
      </c>
      <c r="H36" s="422">
        <v>0</v>
      </c>
      <c r="I36" s="422">
        <v>0</v>
      </c>
      <c r="J36" s="106">
        <f>UCs!H36+UCs!I36</f>
        <v>0</v>
      </c>
      <c r="L36" s="440" t="s">
        <v>3819</v>
      </c>
      <c r="M36" s="422">
        <v>0</v>
      </c>
      <c r="N36" s="422">
        <v>0</v>
      </c>
      <c r="O36" s="106">
        <f>UCs!M36+UCs!N36</f>
        <v>0</v>
      </c>
      <c r="Q36" s="440" t="s">
        <v>3819</v>
      </c>
      <c r="R36" s="422">
        <v>0</v>
      </c>
      <c r="S36" s="422">
        <v>0</v>
      </c>
      <c r="T36" s="106">
        <f>UCs!R36+UCs!S36</f>
        <v>0</v>
      </c>
      <c r="V36" s="440" t="s">
        <v>3819</v>
      </c>
      <c r="W36" s="422">
        <v>0</v>
      </c>
      <c r="X36" s="422">
        <v>0</v>
      </c>
      <c r="Y36" s="106">
        <f>UCs!W36+UCs!X36</f>
        <v>0</v>
      </c>
      <c r="AA36" s="440" t="s">
        <v>3819</v>
      </c>
      <c r="AB36" s="422">
        <v>0</v>
      </c>
      <c r="AC36" s="422">
        <v>0</v>
      </c>
      <c r="AD36" s="106">
        <f>UCs!AB36+UCs!AC36</f>
        <v>0</v>
      </c>
      <c r="AF36" s="440" t="s">
        <v>3819</v>
      </c>
      <c r="AG36" s="422">
        <v>0</v>
      </c>
      <c r="AH36" s="422">
        <v>0</v>
      </c>
      <c r="AI36" s="106">
        <f>UCs!AG36+UCs!AH36</f>
        <v>0</v>
      </c>
      <c r="AK36" s="440" t="s">
        <v>3819</v>
      </c>
      <c r="AL36" s="422">
        <v>0</v>
      </c>
      <c r="AM36" s="422">
        <v>0</v>
      </c>
      <c r="AN36" s="106">
        <f>UCs!AL36+UCs!AM36</f>
        <v>0</v>
      </c>
      <c r="AP36" s="440" t="s">
        <v>3819</v>
      </c>
      <c r="AQ36" s="422">
        <v>0</v>
      </c>
      <c r="AR36" s="422">
        <v>0</v>
      </c>
      <c r="AS36" s="106">
        <f>UCs!AQ36+UCs!AR36</f>
        <v>0</v>
      </c>
      <c r="AU36" s="440" t="s">
        <v>3819</v>
      </c>
      <c r="AV36" s="422">
        <v>0</v>
      </c>
      <c r="AW36" s="422">
        <v>0</v>
      </c>
      <c r="AX36" s="106">
        <f>UCs!AV36+UCs!AW36</f>
        <v>0</v>
      </c>
      <c r="AZ36" s="440" t="s">
        <v>3819</v>
      </c>
      <c r="BA36" s="422">
        <v>0</v>
      </c>
      <c r="BB36" s="422">
        <v>0</v>
      </c>
      <c r="BC36" s="106">
        <f>UCs!BA36+UCs!BB36</f>
        <v>0</v>
      </c>
      <c r="BE36" s="440" t="s">
        <v>3819</v>
      </c>
      <c r="BF36" s="422">
        <v>0</v>
      </c>
      <c r="BG36" s="422">
        <v>0</v>
      </c>
      <c r="BH36" s="106">
        <f>UCs!BF36+UCs!BG36</f>
        <v>0</v>
      </c>
      <c r="BJ36" s="440" t="s">
        <v>3819</v>
      </c>
      <c r="BK36" s="422">
        <v>0</v>
      </c>
      <c r="BL36" s="422">
        <v>0</v>
      </c>
      <c r="BM36" s="106">
        <f>UCs!BK36+UCs!BL36</f>
        <v>0</v>
      </c>
      <c r="BO36" s="440" t="s">
        <v>3819</v>
      </c>
      <c r="BP36" s="422">
        <v>0</v>
      </c>
      <c r="BQ36" s="422">
        <v>0</v>
      </c>
      <c r="BR36" s="106">
        <f>UCs!BP36+UCs!BQ36</f>
        <v>0</v>
      </c>
      <c r="BT36" s="440" t="s">
        <v>3819</v>
      </c>
      <c r="BU36" s="422">
        <v>0</v>
      </c>
      <c r="BV36" s="422">
        <v>0</v>
      </c>
      <c r="BW36" s="106">
        <f>UCs!BU36+UCs!BV36</f>
        <v>0</v>
      </c>
      <c r="BY36" s="440" t="s">
        <v>3819</v>
      </c>
      <c r="BZ36" s="422">
        <v>0</v>
      </c>
      <c r="CA36" s="422">
        <v>0</v>
      </c>
      <c r="CB36" s="106">
        <f>UCs!BZ36+UCs!CA36</f>
        <v>0</v>
      </c>
      <c r="CD36" s="440" t="s">
        <v>3819</v>
      </c>
      <c r="CE36" s="422">
        <v>0</v>
      </c>
      <c r="CF36" s="422">
        <v>0</v>
      </c>
      <c r="CG36" s="106">
        <f>UCs!CE36+UCs!CF36</f>
        <v>0</v>
      </c>
      <c r="CI36" s="440" t="s">
        <v>3819</v>
      </c>
      <c r="CJ36" s="422">
        <v>0</v>
      </c>
      <c r="CK36" s="422">
        <v>0</v>
      </c>
      <c r="CL36" s="106">
        <f>UCs!CJ36+UCs!CK36</f>
        <v>0</v>
      </c>
      <c r="CN36" s="440" t="s">
        <v>3819</v>
      </c>
      <c r="CO36" s="422">
        <v>0</v>
      </c>
      <c r="CP36" s="422">
        <v>0</v>
      </c>
      <c r="CQ36" s="106">
        <f>UCs!CO36+UCs!CP36</f>
        <v>0</v>
      </c>
      <c r="CS36" s="440" t="s">
        <v>3819</v>
      </c>
      <c r="CT36" s="422">
        <v>0</v>
      </c>
      <c r="CU36" s="422">
        <v>0</v>
      </c>
      <c r="CV36" s="106">
        <f>UCs!CT36+UCs!CU36</f>
        <v>0</v>
      </c>
    </row>
    <row r="37" spans="2:100" x14ac:dyDescent="0.25">
      <c r="B37" s="440" t="s">
        <v>3820</v>
      </c>
      <c r="C37" s="422">
        <v>0</v>
      </c>
      <c r="D37" s="422">
        <v>0</v>
      </c>
      <c r="E37" s="106">
        <f>UCs!C37+UCs!D37</f>
        <v>0</v>
      </c>
      <c r="G37" s="440" t="s">
        <v>3820</v>
      </c>
      <c r="H37" s="422">
        <v>0</v>
      </c>
      <c r="I37" s="422">
        <v>0</v>
      </c>
      <c r="J37" s="106">
        <f>UCs!H37+UCs!I37</f>
        <v>0</v>
      </c>
      <c r="L37" s="440" t="s">
        <v>3820</v>
      </c>
      <c r="M37" s="422">
        <v>0</v>
      </c>
      <c r="N37" s="422">
        <v>0</v>
      </c>
      <c r="O37" s="106">
        <f>UCs!M37+UCs!N37</f>
        <v>0</v>
      </c>
      <c r="Q37" s="440" t="s">
        <v>3820</v>
      </c>
      <c r="R37" s="422">
        <v>0</v>
      </c>
      <c r="S37" s="422">
        <v>0</v>
      </c>
      <c r="T37" s="106">
        <f>UCs!R37+UCs!S37</f>
        <v>0</v>
      </c>
      <c r="V37" s="440" t="s">
        <v>3820</v>
      </c>
      <c r="W37" s="422">
        <v>0</v>
      </c>
      <c r="X37" s="422">
        <v>0</v>
      </c>
      <c r="Y37" s="106">
        <f>UCs!W37+UCs!X37</f>
        <v>0</v>
      </c>
      <c r="AA37" s="440" t="s">
        <v>3820</v>
      </c>
      <c r="AB37" s="422">
        <v>0</v>
      </c>
      <c r="AC37" s="422">
        <v>0</v>
      </c>
      <c r="AD37" s="106">
        <f>UCs!AB37+UCs!AC37</f>
        <v>0</v>
      </c>
      <c r="AF37" s="440" t="s">
        <v>3820</v>
      </c>
      <c r="AG37" s="422">
        <v>0</v>
      </c>
      <c r="AH37" s="422">
        <v>0</v>
      </c>
      <c r="AI37" s="106">
        <f>UCs!AG37+UCs!AH37</f>
        <v>0</v>
      </c>
      <c r="AK37" s="440" t="s">
        <v>3820</v>
      </c>
      <c r="AL37" s="422">
        <v>0</v>
      </c>
      <c r="AM37" s="422">
        <v>0</v>
      </c>
      <c r="AN37" s="106">
        <f>UCs!AL37+UCs!AM37</f>
        <v>0</v>
      </c>
      <c r="AP37" s="440" t="s">
        <v>3820</v>
      </c>
      <c r="AQ37" s="422">
        <v>0</v>
      </c>
      <c r="AR37" s="422">
        <v>0</v>
      </c>
      <c r="AS37" s="106">
        <f>UCs!AQ37+UCs!AR37</f>
        <v>0</v>
      </c>
      <c r="AU37" s="440" t="s">
        <v>3820</v>
      </c>
      <c r="AV37" s="422">
        <v>0</v>
      </c>
      <c r="AW37" s="422">
        <v>0</v>
      </c>
      <c r="AX37" s="106">
        <f>UCs!AV37+UCs!AW37</f>
        <v>0</v>
      </c>
      <c r="AZ37" s="440" t="s">
        <v>3820</v>
      </c>
      <c r="BA37" s="422">
        <v>0</v>
      </c>
      <c r="BB37" s="422">
        <v>0</v>
      </c>
      <c r="BC37" s="106">
        <f>UCs!BA37+UCs!BB37</f>
        <v>0</v>
      </c>
      <c r="BE37" s="440" t="s">
        <v>3820</v>
      </c>
      <c r="BF37" s="422">
        <v>0</v>
      </c>
      <c r="BG37" s="422">
        <v>0</v>
      </c>
      <c r="BH37" s="106">
        <f>UCs!BF37+UCs!BG37</f>
        <v>0</v>
      </c>
      <c r="BJ37" s="440" t="s">
        <v>3820</v>
      </c>
      <c r="BK37" s="422">
        <v>0</v>
      </c>
      <c r="BL37" s="422">
        <v>0</v>
      </c>
      <c r="BM37" s="106">
        <f>UCs!BK37+UCs!BL37</f>
        <v>0</v>
      </c>
      <c r="BO37" s="440" t="s">
        <v>3820</v>
      </c>
      <c r="BP37" s="422">
        <v>0</v>
      </c>
      <c r="BQ37" s="422">
        <v>0</v>
      </c>
      <c r="BR37" s="106">
        <f>UCs!BP37+UCs!BQ37</f>
        <v>0</v>
      </c>
      <c r="BT37" s="440" t="s">
        <v>3820</v>
      </c>
      <c r="BU37" s="422">
        <v>0</v>
      </c>
      <c r="BV37" s="422">
        <v>0</v>
      </c>
      <c r="BW37" s="106">
        <f>UCs!BU37+UCs!BV37</f>
        <v>0</v>
      </c>
      <c r="BY37" s="440" t="s">
        <v>3820</v>
      </c>
      <c r="BZ37" s="422">
        <v>0</v>
      </c>
      <c r="CA37" s="422">
        <v>0</v>
      </c>
      <c r="CB37" s="106">
        <f>UCs!BZ37+UCs!CA37</f>
        <v>0</v>
      </c>
      <c r="CD37" s="440" t="s">
        <v>3820</v>
      </c>
      <c r="CE37" s="422">
        <v>0</v>
      </c>
      <c r="CF37" s="422">
        <v>0</v>
      </c>
      <c r="CG37" s="106">
        <f>UCs!CE37+UCs!CF37</f>
        <v>0</v>
      </c>
      <c r="CI37" s="440" t="s">
        <v>3820</v>
      </c>
      <c r="CJ37" s="422">
        <v>0</v>
      </c>
      <c r="CK37" s="422">
        <v>0</v>
      </c>
      <c r="CL37" s="106">
        <f>UCs!CJ37+UCs!CK37</f>
        <v>0</v>
      </c>
      <c r="CN37" s="440" t="s">
        <v>3820</v>
      </c>
      <c r="CO37" s="422">
        <v>0</v>
      </c>
      <c r="CP37" s="422">
        <v>0</v>
      </c>
      <c r="CQ37" s="106">
        <f>UCs!CO37+UCs!CP37</f>
        <v>0</v>
      </c>
      <c r="CS37" s="440" t="s">
        <v>3820</v>
      </c>
      <c r="CT37" s="422">
        <v>0</v>
      </c>
      <c r="CU37" s="422">
        <v>0</v>
      </c>
      <c r="CV37" s="106">
        <f>UCs!CT37+UCs!CU37</f>
        <v>0</v>
      </c>
    </row>
    <row r="38" spans="2:100" x14ac:dyDescent="0.25">
      <c r="B38" s="572" t="s">
        <v>3821</v>
      </c>
      <c r="C38" s="570">
        <f>SUBTOTAL(109,Tabela2623930[Demanda Ponta '[a']])</f>
        <v>0</v>
      </c>
      <c r="D38" s="571">
        <f>SUBTOTAL(109,Tabela2623930[Demanda Fora Ponta '[b']])</f>
        <v>0</v>
      </c>
      <c r="E38" s="569">
        <f>SUBTOTAL(101,Tabela2623930[Demanda total (kW/mês)])</f>
        <v>0</v>
      </c>
      <c r="G38" s="572" t="s">
        <v>3821</v>
      </c>
      <c r="H38" s="570">
        <f>SUBTOTAL(109,Tabela262393011[Demanda Ponta '[a']])</f>
        <v>0</v>
      </c>
      <c r="I38" s="571">
        <f>SUBTOTAL(109,Tabela262393011[Demanda Fora Ponta '[b']])</f>
        <v>0</v>
      </c>
      <c r="J38" s="569">
        <f>SUBTOTAL(101,Tabela262393011[Demanda total (kW/mês)])</f>
        <v>0</v>
      </c>
      <c r="L38" s="572" t="s">
        <v>3821</v>
      </c>
      <c r="M38" s="570">
        <f>SUBTOTAL(109,Tabela262393013[Demanda Ponta '[a']])</f>
        <v>0</v>
      </c>
      <c r="N38" s="571">
        <f>SUBTOTAL(109,Tabela262393013[Demanda Fora Ponta '[b']])</f>
        <v>0</v>
      </c>
      <c r="O38" s="569">
        <f>SUBTOTAL(101,Tabela262393013[Demanda total (kW/mês)])</f>
        <v>0</v>
      </c>
      <c r="Q38" s="572" t="s">
        <v>3821</v>
      </c>
      <c r="R38" s="570">
        <f>SUBTOTAL(109,Tabela262393015[Demanda Ponta '[a']])</f>
        <v>0</v>
      </c>
      <c r="S38" s="571">
        <f>SUBTOTAL(109,Tabela262393015[Demanda Fora Ponta '[b']])</f>
        <v>0</v>
      </c>
      <c r="T38" s="569">
        <f>SUBTOTAL(101,Tabela262393015[Demanda total (kW/mês)])</f>
        <v>0</v>
      </c>
      <c r="V38" s="572" t="s">
        <v>3821</v>
      </c>
      <c r="W38" s="570">
        <f>SUBTOTAL(109,Tabela262393017[Demanda Ponta '[a']])</f>
        <v>0</v>
      </c>
      <c r="X38" s="571">
        <f>SUBTOTAL(109,Tabela262393017[Demanda Fora Ponta '[b']])</f>
        <v>0</v>
      </c>
      <c r="Y38" s="569">
        <f>SUBTOTAL(101,Tabela262393017[Demanda total (kW/mês)])</f>
        <v>0</v>
      </c>
      <c r="AA38" s="572" t="s">
        <v>3821</v>
      </c>
      <c r="AB38" s="570">
        <f>SUBTOTAL(109,Tabela26239301719[Demanda Ponta '[a']])</f>
        <v>0</v>
      </c>
      <c r="AC38" s="571">
        <f>SUBTOTAL(109,Tabela26239301719[Demanda Fora Ponta '[b']])</f>
        <v>0</v>
      </c>
      <c r="AD38" s="569">
        <f>SUBTOTAL(101,Tabela26239301719[Demanda total (kW/mês)])</f>
        <v>0</v>
      </c>
      <c r="AF38" s="572" t="s">
        <v>3821</v>
      </c>
      <c r="AG38" s="570">
        <f>SUBTOTAL(109,Tabela26239301721[Demanda Ponta '[a']])</f>
        <v>0</v>
      </c>
      <c r="AH38" s="571">
        <f>SUBTOTAL(109,Tabela26239301721[Demanda Fora Ponta '[b']])</f>
        <v>0</v>
      </c>
      <c r="AI38" s="569">
        <f>SUBTOTAL(101,Tabela26239301721[Demanda total (kW/mês)])</f>
        <v>0</v>
      </c>
      <c r="AK38" s="572" t="s">
        <v>3821</v>
      </c>
      <c r="AL38" s="570">
        <f>SUBTOTAL(109,Tabela26239301726[Demanda Ponta '[a']])</f>
        <v>0</v>
      </c>
      <c r="AM38" s="571">
        <f>SUBTOTAL(109,Tabela26239301726[Demanda Fora Ponta '[b']])</f>
        <v>0</v>
      </c>
      <c r="AN38" s="569">
        <f>SUBTOTAL(101,Tabela26239301726[Demanda total (kW/mês)])</f>
        <v>0</v>
      </c>
      <c r="AP38" s="572" t="s">
        <v>3821</v>
      </c>
      <c r="AQ38" s="570">
        <f>SUBTOTAL(109,Tabela26239301728[Demanda Ponta '[a']])</f>
        <v>0</v>
      </c>
      <c r="AR38" s="571">
        <f>SUBTOTAL(109,Tabela26239301728[Demanda Fora Ponta '[b']])</f>
        <v>0</v>
      </c>
      <c r="AS38" s="569">
        <f>SUBTOTAL(101,Tabela26239301728[Demanda total (kW/mês)])</f>
        <v>0</v>
      </c>
      <c r="AU38" s="572" t="s">
        <v>3821</v>
      </c>
      <c r="AV38" s="570">
        <f>SUBTOTAL(109,Tabela26239301731[Demanda Ponta '[a']])</f>
        <v>0</v>
      </c>
      <c r="AW38" s="571">
        <f>SUBTOTAL(109,Tabela26239301731[Demanda Fora Ponta '[b']])</f>
        <v>0</v>
      </c>
      <c r="AX38" s="569">
        <f>SUBTOTAL(101,Tabela26239301731[Demanda total (kW/mês)])</f>
        <v>0</v>
      </c>
      <c r="AZ38" s="572" t="s">
        <v>3821</v>
      </c>
      <c r="BA38" s="570">
        <f>SUBTOTAL(109,Tabela26239301733[Demanda Ponta '[a']])</f>
        <v>0</v>
      </c>
      <c r="BB38" s="571">
        <f>SUBTOTAL(109,Tabela26239301733[Demanda Fora Ponta '[b']])</f>
        <v>0</v>
      </c>
      <c r="BC38" s="569">
        <f>SUBTOTAL(101,Tabela26239301733[Demanda total (kW/mês)])</f>
        <v>0</v>
      </c>
      <c r="BE38" s="572" t="s">
        <v>3821</v>
      </c>
      <c r="BF38" s="570">
        <f>SUBTOTAL(109,Tabela26239301735[Demanda Ponta '[a']])</f>
        <v>0</v>
      </c>
      <c r="BG38" s="571">
        <f>SUBTOTAL(109,Tabela26239301735[Demanda Fora Ponta '[b']])</f>
        <v>0</v>
      </c>
      <c r="BH38" s="569">
        <f>SUBTOTAL(101,Tabela26239301735[Demanda total (kW/mês)])</f>
        <v>0</v>
      </c>
      <c r="BJ38" s="572" t="s">
        <v>3821</v>
      </c>
      <c r="BK38" s="570">
        <f>SUBTOTAL(109,Tabela26239301737[Demanda Ponta '[a']])</f>
        <v>0</v>
      </c>
      <c r="BL38" s="571">
        <f>SUBTOTAL(109,Tabela26239301737[Demanda Fora Ponta '[b']])</f>
        <v>0</v>
      </c>
      <c r="BM38" s="569">
        <f>SUBTOTAL(101,Tabela26239301737[Demanda total (kW/mês)])</f>
        <v>0</v>
      </c>
      <c r="BO38" s="572" t="s">
        <v>3821</v>
      </c>
      <c r="BP38" s="570">
        <f>SUBTOTAL(109,Tabela26239301739[Demanda Ponta '[a']])</f>
        <v>0</v>
      </c>
      <c r="BQ38" s="571">
        <f>SUBTOTAL(109,Tabela26239301739[Demanda Fora Ponta '[b']])</f>
        <v>0</v>
      </c>
      <c r="BR38" s="569">
        <f>SUBTOTAL(101,Tabela26239301739[Demanda total (kW/mês)])</f>
        <v>0</v>
      </c>
      <c r="BT38" s="572" t="s">
        <v>3821</v>
      </c>
      <c r="BU38" s="570">
        <f>SUBTOTAL(109,Tabela26239301741[Demanda Ponta '[a']])</f>
        <v>0</v>
      </c>
      <c r="BV38" s="571">
        <f>SUBTOTAL(109,Tabela26239301741[Demanda Fora Ponta '[b']])</f>
        <v>0</v>
      </c>
      <c r="BW38" s="569">
        <f>SUBTOTAL(101,Tabela26239301741[Demanda total (kW/mês)])</f>
        <v>0</v>
      </c>
      <c r="BY38" s="572" t="s">
        <v>3821</v>
      </c>
      <c r="BZ38" s="570">
        <f>SUBTOTAL(109,Tabela26239301743[Demanda Ponta '[a']])</f>
        <v>0</v>
      </c>
      <c r="CA38" s="571">
        <f>SUBTOTAL(109,Tabela26239301743[Demanda Fora Ponta '[b']])</f>
        <v>0</v>
      </c>
      <c r="CB38" s="569">
        <f>SUBTOTAL(101,Tabela26239301743[Demanda total (kW/mês)])</f>
        <v>0</v>
      </c>
      <c r="CD38" s="572" t="s">
        <v>3821</v>
      </c>
      <c r="CE38" s="570">
        <f>SUBTOTAL(109,Tabela26239301745[Demanda Ponta '[a']])</f>
        <v>0</v>
      </c>
      <c r="CF38" s="571">
        <f>SUBTOTAL(109,Tabela26239301745[Demanda Fora Ponta '[b']])</f>
        <v>0</v>
      </c>
      <c r="CG38" s="569">
        <f>SUBTOTAL(101,Tabela26239301745[Demanda total (kW/mês)])</f>
        <v>0</v>
      </c>
      <c r="CI38" s="572" t="s">
        <v>3821</v>
      </c>
      <c r="CJ38" s="570">
        <f>SUBTOTAL(109,Tabela26239301747[Demanda Ponta '[a']])</f>
        <v>0</v>
      </c>
      <c r="CK38" s="571">
        <f>SUBTOTAL(109,Tabela26239301747[Demanda Fora Ponta '[b']])</f>
        <v>0</v>
      </c>
      <c r="CL38" s="569">
        <f>SUBTOTAL(101,Tabela26239301747[Demanda total (kW/mês)])</f>
        <v>0</v>
      </c>
      <c r="CN38" s="572" t="s">
        <v>3821</v>
      </c>
      <c r="CO38" s="570">
        <f>SUBTOTAL(109,Tabela26239301749[Demanda Ponta '[a']])</f>
        <v>0</v>
      </c>
      <c r="CP38" s="571">
        <f>SUBTOTAL(109,Tabela26239301749[Demanda Fora Ponta '[b']])</f>
        <v>0</v>
      </c>
      <c r="CQ38" s="569">
        <f>SUBTOTAL(101,Tabela26239301749[Demanda total (kW/mês)])</f>
        <v>0</v>
      </c>
      <c r="CS38" s="572" t="s">
        <v>3821</v>
      </c>
      <c r="CT38" s="570">
        <f>SUBTOTAL(109,Tabela26239301751[Demanda Ponta '[a']])</f>
        <v>0</v>
      </c>
      <c r="CU38" s="571">
        <f>SUBTOTAL(109,Tabela26239301751[Demanda Fora Ponta '[b']])</f>
        <v>0</v>
      </c>
      <c r="CV38" s="569">
        <f>SUBTOTAL(101,Tabela26239301751[Demanda total (kW/mês)])</f>
        <v>0</v>
      </c>
    </row>
    <row r="39" spans="2:100" x14ac:dyDescent="0.25">
      <c r="B39" s="573"/>
      <c r="C39" s="574"/>
      <c r="D39" s="574"/>
      <c r="E39" s="575"/>
    </row>
    <row r="40" spans="2:100" x14ac:dyDescent="0.25">
      <c r="B40" s="573"/>
      <c r="C40" s="574"/>
      <c r="D40" s="574"/>
      <c r="E40" s="575"/>
    </row>
    <row r="41" spans="2:100" s="576" customFormat="1" hidden="1" x14ac:dyDescent="0.25">
      <c r="B41" s="564" t="s">
        <v>5075</v>
      </c>
      <c r="C41" s="565"/>
      <c r="D41" s="565"/>
      <c r="E41" s="566">
        <f>(IF(E3="Grupo A (A1, A2, A3, A3a e A4)",E5,75))-E6</f>
        <v>75</v>
      </c>
      <c r="J41" s="566">
        <f>(IF(J3="Grupo A (A1, A2, A3, A3a e A4)",J5,75))-J6</f>
        <v>75</v>
      </c>
      <c r="O41" s="566">
        <f>(IF(O3="Grupo A (A1, A2, A3, A3a e A4)",O5,75))-O6</f>
        <v>75</v>
      </c>
      <c r="T41" s="566">
        <f>(IF(T3="Grupo A (A1, A2, A3, A3a e A4)",T5,75))-T6</f>
        <v>75</v>
      </c>
      <c r="Y41" s="566">
        <f>(IF(Y3="Grupo A (A1, A2, A3, A3a e A4)",Y5,75))-Y6</f>
        <v>75</v>
      </c>
      <c r="AD41" s="566">
        <f>(IF(AD3="Grupo A (A1, A2, A3, A3a e A4)",AD5,75))-AD6</f>
        <v>75</v>
      </c>
      <c r="AI41" s="566">
        <f>(IF(AI3="Grupo A (A1, A2, A3, A3a e A4)",AI5,75))-AI6</f>
        <v>75</v>
      </c>
      <c r="AN41" s="566">
        <f>(IF(AN3="Grupo A (A1, A2, A3, A3a e A4)",AN5,75))-AN6</f>
        <v>75</v>
      </c>
      <c r="AS41" s="566">
        <f>(IF(AS3="Grupo A (A1, A2, A3, A3a e A4)",AS5,75))-AS6</f>
        <v>75</v>
      </c>
      <c r="AX41" s="566">
        <f>(IF(AX3="Grupo A (A1, A2, A3, A3a e A4)",AX5,75))-AX6</f>
        <v>75</v>
      </c>
      <c r="BC41" s="566">
        <f>(IF(BC3="Grupo A (A1, A2, A3, A3a e A4)",BC5,75))-BC6</f>
        <v>75</v>
      </c>
      <c r="BH41" s="566">
        <f>(IF(BH3="Grupo A (A1, A2, A3, A3a e A4)",BH5,75))-BH6</f>
        <v>75</v>
      </c>
      <c r="BM41" s="566">
        <f>(IF(BM3="Grupo A (A1, A2, A3, A3a e A4)",BM5,75))-BM6</f>
        <v>75</v>
      </c>
      <c r="BR41" s="566">
        <f>(IF(BR3="Grupo A (A1, A2, A3, A3a e A4)",BR5,75))-BR6</f>
        <v>75</v>
      </c>
      <c r="BW41" s="566">
        <f>(IF(BW3="Grupo A (A1, A2, A3, A3a e A4)",BW5,75))-BW6</f>
        <v>75</v>
      </c>
      <c r="CB41" s="566">
        <f>(IF(CB3="Grupo A (A1, A2, A3, A3a e A4)",CB5,75))-CB6</f>
        <v>75</v>
      </c>
      <c r="CG41" s="566">
        <f>(IF(CG3="Grupo A (A1, A2, A3, A3a e A4)",CG5,75))-CG6</f>
        <v>75</v>
      </c>
      <c r="CL41" s="566">
        <f>(IF(CL3="Grupo A (A1, A2, A3, A3a e A4)",CL5,75))-CL6</f>
        <v>75</v>
      </c>
      <c r="CQ41" s="566">
        <f>(IF(CQ3="Grupo A (A1, A2, A3, A3a e A4)",CQ5,75))-CQ6</f>
        <v>75</v>
      </c>
      <c r="CV41" s="566">
        <f>(IF(CV3="Grupo A (A1, A2, A3, A3a e A4)",CV5,75))-CV6</f>
        <v>75</v>
      </c>
    </row>
    <row r="42" spans="2:100" hidden="1" x14ac:dyDescent="0.25">
      <c r="B42" t="s">
        <v>5104</v>
      </c>
      <c r="E42" s="575">
        <f>SUM(E10:E21)</f>
        <v>0</v>
      </c>
      <c r="J42" s="575">
        <f>SUM(J10:J21)</f>
        <v>0</v>
      </c>
      <c r="O42" s="575">
        <f>SUM(O10:O21)</f>
        <v>0</v>
      </c>
      <c r="T42" s="575">
        <f>SUM(T10:T21)</f>
        <v>0</v>
      </c>
      <c r="Y42" s="575">
        <f>SUM(Y10:Y21)</f>
        <v>0</v>
      </c>
      <c r="AD42" s="575">
        <f>SUM(AD10:AD21)</f>
        <v>0</v>
      </c>
      <c r="AI42" s="575">
        <f>SUM(AI10:AI21)</f>
        <v>0</v>
      </c>
      <c r="AN42" s="575">
        <f>SUM(AN10:AN21)</f>
        <v>0</v>
      </c>
      <c r="AS42" s="575">
        <f>SUM(AS10:AS21)</f>
        <v>0</v>
      </c>
      <c r="AX42" s="575">
        <f>SUM(AX10:AX21)</f>
        <v>0</v>
      </c>
      <c r="BC42" s="575">
        <f>SUM(BC10:BC21)</f>
        <v>0</v>
      </c>
      <c r="BH42" s="575">
        <f>SUM(BH10:BH21)</f>
        <v>0</v>
      </c>
      <c r="BM42" s="575">
        <f>SUM(BM10:BM21)</f>
        <v>0</v>
      </c>
      <c r="BR42" s="575">
        <f>SUM(BR10:BR21)</f>
        <v>0</v>
      </c>
      <c r="BW42" s="575">
        <f>SUM(BW10:BW21)</f>
        <v>0</v>
      </c>
      <c r="CB42" s="575">
        <f>SUM(CB10:CB21)</f>
        <v>0</v>
      </c>
      <c r="CG42" s="575">
        <f>SUM(CG10:CG21)</f>
        <v>0</v>
      </c>
      <c r="CL42" s="575">
        <f>SUM(CL10:CL21)</f>
        <v>0</v>
      </c>
      <c r="CQ42" s="575">
        <f>SUM(CQ10:CQ21)</f>
        <v>0</v>
      </c>
      <c r="CV42" s="575">
        <f>SUM(CV10:CV21)</f>
        <v>0</v>
      </c>
    </row>
    <row r="43" spans="2:100" hidden="1" x14ac:dyDescent="0.25">
      <c r="B43" t="s">
        <v>5105</v>
      </c>
      <c r="E43" s="575">
        <f>AVERAGE(E10:E21)</f>
        <v>0</v>
      </c>
      <c r="J43" s="575">
        <f>AVERAGE(J10:J21)</f>
        <v>0</v>
      </c>
      <c r="O43" s="575">
        <f>AVERAGE(O10:O21)</f>
        <v>0</v>
      </c>
      <c r="T43" s="575">
        <f>AVERAGE(T10:T21)</f>
        <v>0</v>
      </c>
      <c r="Y43" s="575">
        <f>AVERAGE(Y10:Y21)</f>
        <v>0</v>
      </c>
      <c r="AD43" s="575">
        <f>AVERAGE(AD10:AD21)</f>
        <v>0</v>
      </c>
      <c r="AI43" s="575">
        <f>AVERAGE(AI10:AI21)</f>
        <v>0</v>
      </c>
      <c r="AN43" s="575">
        <f>AVERAGE(AN10:AN21)</f>
        <v>0</v>
      </c>
      <c r="AS43" s="575">
        <f>AVERAGE(AS10:AS21)</f>
        <v>0</v>
      </c>
      <c r="AX43" s="575">
        <f>AVERAGE(AX10:AX21)</f>
        <v>0</v>
      </c>
      <c r="BC43" s="575">
        <f>AVERAGE(BC10:BC21)</f>
        <v>0</v>
      </c>
      <c r="BH43" s="575">
        <f>AVERAGE(BH10:BH21)</f>
        <v>0</v>
      </c>
      <c r="BM43" s="575">
        <f>AVERAGE(BM10:BM21)</f>
        <v>0</v>
      </c>
      <c r="BR43" s="575">
        <f>AVERAGE(BR10:BR21)</f>
        <v>0</v>
      </c>
      <c r="BW43" s="575">
        <f>AVERAGE(BW10:BW21)</f>
        <v>0</v>
      </c>
      <c r="CB43" s="575">
        <f>AVERAGE(CB10:CB21)</f>
        <v>0</v>
      </c>
      <c r="CG43" s="575">
        <f>AVERAGE(CG10:CG21)</f>
        <v>0</v>
      </c>
      <c r="CL43" s="575">
        <f>AVERAGE(CL10:CL21)</f>
        <v>0</v>
      </c>
      <c r="CQ43" s="575">
        <f>AVERAGE(CQ10:CQ21)</f>
        <v>0</v>
      </c>
      <c r="CV43" s="575">
        <f>AVERAGE(CV10:CV21)</f>
        <v>0</v>
      </c>
    </row>
    <row r="44" spans="2:100" hidden="1" x14ac:dyDescent="0.25">
      <c r="B44" s="586" t="s">
        <v>5107</v>
      </c>
      <c r="E44" s="574">
        <f>SUM(D10:D21)</f>
        <v>0</v>
      </c>
      <c r="J44" s="574">
        <f>SUM(I10:I21)</f>
        <v>0</v>
      </c>
      <c r="O44" s="574">
        <f>SUM(N10:N21)</f>
        <v>0</v>
      </c>
      <c r="T44" s="574">
        <f>SUM(S10:S21)</f>
        <v>0</v>
      </c>
      <c r="Y44" s="574">
        <f>SUM(X10:X21)</f>
        <v>0</v>
      </c>
      <c r="AD44" s="574">
        <f>SUM(AC10:AC21)</f>
        <v>0</v>
      </c>
      <c r="AI44" s="574">
        <f>SUM(AH10:AH21)</f>
        <v>0</v>
      </c>
      <c r="AN44" s="574">
        <f>SUM(AM10:AM21)</f>
        <v>0</v>
      </c>
      <c r="AS44" s="574">
        <f>SUM(AR10:AR21)</f>
        <v>0</v>
      </c>
      <c r="AX44" s="574">
        <f>SUM(AW10:AW21)</f>
        <v>0</v>
      </c>
      <c r="BC44" s="574">
        <f>SUM(BB10:BB21)</f>
        <v>0</v>
      </c>
      <c r="BH44" s="574">
        <f>SUM(BG10:BG21)</f>
        <v>0</v>
      </c>
      <c r="BM44" s="574">
        <f>SUM(BL10:BL21)</f>
        <v>0</v>
      </c>
      <c r="BR44" s="574">
        <f>SUM(BQ10:BQ21)</f>
        <v>0</v>
      </c>
      <c r="BW44" s="574">
        <f>SUM(BV10:BV21)</f>
        <v>0</v>
      </c>
      <c r="CB44" s="574">
        <f>SUM(CA10:CA21)</f>
        <v>0</v>
      </c>
      <c r="CG44" s="574">
        <f>SUM(CF10:CF21)</f>
        <v>0</v>
      </c>
      <c r="CL44" s="574">
        <f>SUM(CK10:CK21)</f>
        <v>0</v>
      </c>
      <c r="CQ44" s="574">
        <f>SUM(CP10:CP21)</f>
        <v>0</v>
      </c>
      <c r="CV44" s="574">
        <f>SUM(CU10:CU21)</f>
        <v>0</v>
      </c>
    </row>
    <row r="45" spans="2:100" hidden="1" x14ac:dyDescent="0.25">
      <c r="B45" s="586" t="s">
        <v>5108</v>
      </c>
      <c r="E45" s="574">
        <f>AVERAGE(D10:D21)</f>
        <v>0</v>
      </c>
      <c r="J45" s="574">
        <f>AVERAGE(I10:I21)</f>
        <v>0</v>
      </c>
      <c r="O45" s="574">
        <f>AVERAGE(N10:N21)</f>
        <v>0</v>
      </c>
      <c r="T45" s="574">
        <f>AVERAGE(S10:S21)</f>
        <v>0</v>
      </c>
      <c r="Y45" s="574">
        <f>AVERAGE(X10:X21)</f>
        <v>0</v>
      </c>
      <c r="AD45" s="574">
        <f>AVERAGE(AC10:AC21)</f>
        <v>0</v>
      </c>
      <c r="AI45" s="574">
        <f>AVERAGE(AH10:AH21)</f>
        <v>0</v>
      </c>
      <c r="AN45" s="574">
        <f>AVERAGE(AM10:AM21)</f>
        <v>0</v>
      </c>
      <c r="AS45" s="574">
        <f>AVERAGE(AR10:AR21)</f>
        <v>0</v>
      </c>
      <c r="AX45" s="574">
        <f>AVERAGE(AW10:AW21)</f>
        <v>0</v>
      </c>
      <c r="BC45" s="574">
        <f>AVERAGE(BB10:BB21)</f>
        <v>0</v>
      </c>
      <c r="BH45" s="574">
        <f>AVERAGE(BG10:BG21)</f>
        <v>0</v>
      </c>
      <c r="BM45" s="574">
        <f>AVERAGE(BL10:BL21)</f>
        <v>0</v>
      </c>
      <c r="BR45" s="574">
        <f>AVERAGE(BQ10:BQ21)</f>
        <v>0</v>
      </c>
      <c r="BW45" s="574">
        <f>AVERAGE(BV10:BV21)</f>
        <v>0</v>
      </c>
      <c r="CB45" s="574">
        <f>AVERAGE(CA10:CA21)</f>
        <v>0</v>
      </c>
      <c r="CG45" s="574">
        <f>AVERAGE(CF10:CF21)</f>
        <v>0</v>
      </c>
      <c r="CL45" s="574">
        <f>AVERAGE(CK10:CK21)</f>
        <v>0</v>
      </c>
      <c r="CQ45" s="574">
        <f>AVERAGE(CP10:CP21)</f>
        <v>0</v>
      </c>
      <c r="CV45" s="574">
        <f>AVERAGE(CU10:CU21)</f>
        <v>0</v>
      </c>
    </row>
  </sheetData>
  <sheetProtection algorithmName="SHA-512" hashValue="14hcXerzgZ5LhbNth6hW9fFUtONdsgQ9qUgwbteTtSOB7XXrZmJi2yG924s/U1HNQOL43Qccle415dbXIsMsig==" saltValue="2sR9x+KTdGILTdlssUd7hw==" spinCount="100000" sheet="1" objects="1" scenarios="1"/>
  <mergeCells count="140">
    <mergeCell ref="B8:E8"/>
    <mergeCell ref="B24:E24"/>
    <mergeCell ref="B3:D3"/>
    <mergeCell ref="B5:D5"/>
    <mergeCell ref="B6:D6"/>
    <mergeCell ref="G24:J24"/>
    <mergeCell ref="L3:N3"/>
    <mergeCell ref="L5:N5"/>
    <mergeCell ref="L6:N6"/>
    <mergeCell ref="L8:O8"/>
    <mergeCell ref="L24:O24"/>
    <mergeCell ref="G3:I3"/>
    <mergeCell ref="G5:I5"/>
    <mergeCell ref="G6:I6"/>
    <mergeCell ref="G8:J8"/>
    <mergeCell ref="B4:D4"/>
    <mergeCell ref="G4:I4"/>
    <mergeCell ref="L4:N4"/>
    <mergeCell ref="Q24:T24"/>
    <mergeCell ref="V3:X3"/>
    <mergeCell ref="V5:X5"/>
    <mergeCell ref="V6:X6"/>
    <mergeCell ref="V8:Y8"/>
    <mergeCell ref="V24:Y24"/>
    <mergeCell ref="Q3:S3"/>
    <mergeCell ref="Q5:S5"/>
    <mergeCell ref="Q6:S6"/>
    <mergeCell ref="Q8:T8"/>
    <mergeCell ref="Q4:S4"/>
    <mergeCell ref="V4:X4"/>
    <mergeCell ref="AK3:AM3"/>
    <mergeCell ref="AK5:AM5"/>
    <mergeCell ref="AK6:AM6"/>
    <mergeCell ref="AK8:AN8"/>
    <mergeCell ref="AK24:AN24"/>
    <mergeCell ref="AA24:AD24"/>
    <mergeCell ref="AF3:AH3"/>
    <mergeCell ref="AF5:AH5"/>
    <mergeCell ref="AF6:AH6"/>
    <mergeCell ref="AF8:AI8"/>
    <mergeCell ref="AF24:AI24"/>
    <mergeCell ref="AA3:AC3"/>
    <mergeCell ref="AA5:AC5"/>
    <mergeCell ref="AA6:AC6"/>
    <mergeCell ref="AA8:AD8"/>
    <mergeCell ref="AA4:AC4"/>
    <mergeCell ref="AF4:AH4"/>
    <mergeCell ref="AK4:AM4"/>
    <mergeCell ref="AP24:AS24"/>
    <mergeCell ref="AU3:AW3"/>
    <mergeCell ref="AU5:AW5"/>
    <mergeCell ref="AU6:AW6"/>
    <mergeCell ref="AU8:AX8"/>
    <mergeCell ref="AU24:AX24"/>
    <mergeCell ref="AP3:AR3"/>
    <mergeCell ref="AP5:AR5"/>
    <mergeCell ref="AP6:AR6"/>
    <mergeCell ref="AP8:AS8"/>
    <mergeCell ref="AP4:AR4"/>
    <mergeCell ref="AU4:AW4"/>
    <mergeCell ref="AZ24:BC24"/>
    <mergeCell ref="BE3:BG3"/>
    <mergeCell ref="BE5:BG5"/>
    <mergeCell ref="BE6:BG6"/>
    <mergeCell ref="BE8:BH8"/>
    <mergeCell ref="BE24:BH24"/>
    <mergeCell ref="AZ3:BB3"/>
    <mergeCell ref="AZ5:BB5"/>
    <mergeCell ref="AZ6:BB6"/>
    <mergeCell ref="AZ8:BC8"/>
    <mergeCell ref="AZ4:BB4"/>
    <mergeCell ref="BE4:BG4"/>
    <mergeCell ref="BJ24:BM24"/>
    <mergeCell ref="BO3:BQ3"/>
    <mergeCell ref="BO5:BQ5"/>
    <mergeCell ref="BO6:BQ6"/>
    <mergeCell ref="BO8:BR8"/>
    <mergeCell ref="BO24:BR24"/>
    <mergeCell ref="BJ3:BL3"/>
    <mergeCell ref="BJ5:BL5"/>
    <mergeCell ref="BJ6:BL6"/>
    <mergeCell ref="BJ8:BM8"/>
    <mergeCell ref="BJ4:BL4"/>
    <mergeCell ref="BO4:BQ4"/>
    <mergeCell ref="BT24:BW24"/>
    <mergeCell ref="BY3:CA3"/>
    <mergeCell ref="BY5:CA5"/>
    <mergeCell ref="BY6:CA6"/>
    <mergeCell ref="BY8:CB8"/>
    <mergeCell ref="BY24:CB24"/>
    <mergeCell ref="BT3:BV3"/>
    <mergeCell ref="BT5:BV5"/>
    <mergeCell ref="BT6:BV6"/>
    <mergeCell ref="BT8:BW8"/>
    <mergeCell ref="BT4:BV4"/>
    <mergeCell ref="BY4:CA4"/>
    <mergeCell ref="CD24:CG24"/>
    <mergeCell ref="CI3:CK3"/>
    <mergeCell ref="CI5:CK5"/>
    <mergeCell ref="CI6:CK6"/>
    <mergeCell ref="CI8:CL8"/>
    <mergeCell ref="CI24:CL24"/>
    <mergeCell ref="CD3:CF3"/>
    <mergeCell ref="CD5:CF5"/>
    <mergeCell ref="CD6:CF6"/>
    <mergeCell ref="CD8:CG8"/>
    <mergeCell ref="CD4:CF4"/>
    <mergeCell ref="CI4:CK4"/>
    <mergeCell ref="CN24:CQ24"/>
    <mergeCell ref="CS3:CU3"/>
    <mergeCell ref="CS5:CU5"/>
    <mergeCell ref="CS6:CU6"/>
    <mergeCell ref="CS8:CV8"/>
    <mergeCell ref="CS24:CV24"/>
    <mergeCell ref="CN3:CP3"/>
    <mergeCell ref="CN5:CP5"/>
    <mergeCell ref="CN6:CP6"/>
    <mergeCell ref="CN8:CQ8"/>
    <mergeCell ref="CN4:CP4"/>
    <mergeCell ref="CS4:CU4"/>
    <mergeCell ref="AA2:AC2"/>
    <mergeCell ref="AF2:AH2"/>
    <mergeCell ref="AK2:AM2"/>
    <mergeCell ref="AP2:AR2"/>
    <mergeCell ref="AU2:AW2"/>
    <mergeCell ref="G2:I2"/>
    <mergeCell ref="B2:D2"/>
    <mergeCell ref="L2:N2"/>
    <mergeCell ref="Q2:S2"/>
    <mergeCell ref="V2:X2"/>
    <mergeCell ref="BY2:CA2"/>
    <mergeCell ref="CD2:CF2"/>
    <mergeCell ref="CI2:CK2"/>
    <mergeCell ref="CN2:CP2"/>
    <mergeCell ref="CS2:CU2"/>
    <mergeCell ref="AZ2:BB2"/>
    <mergeCell ref="BE2:BG2"/>
    <mergeCell ref="BJ2:BL2"/>
    <mergeCell ref="BO2:BQ2"/>
    <mergeCell ref="BT2:BV2"/>
  </mergeCells>
  <conditionalFormatting sqref="E6">
    <cfRule type="cellIs" dxfId="136" priority="20" operator="lessThan">
      <formula>0</formula>
    </cfRule>
  </conditionalFormatting>
  <conditionalFormatting sqref="J6">
    <cfRule type="cellIs" dxfId="135" priority="19" operator="lessThan">
      <formula>0</formula>
    </cfRule>
  </conditionalFormatting>
  <conditionalFormatting sqref="O6">
    <cfRule type="cellIs" dxfId="134" priority="18" operator="lessThan">
      <formula>0</formula>
    </cfRule>
  </conditionalFormatting>
  <conditionalFormatting sqref="T6">
    <cfRule type="cellIs" dxfId="133" priority="17" operator="lessThan">
      <formula>0</formula>
    </cfRule>
  </conditionalFormatting>
  <conditionalFormatting sqref="Y6">
    <cfRule type="cellIs" dxfId="132" priority="16" operator="lessThan">
      <formula>0</formula>
    </cfRule>
  </conditionalFormatting>
  <conditionalFormatting sqref="AD6">
    <cfRule type="cellIs" dxfId="131" priority="15" operator="lessThan">
      <formula>0</formula>
    </cfRule>
  </conditionalFormatting>
  <conditionalFormatting sqref="AI6">
    <cfRule type="cellIs" dxfId="130" priority="14" operator="lessThan">
      <formula>0</formula>
    </cfRule>
  </conditionalFormatting>
  <conditionalFormatting sqref="AN6">
    <cfRule type="cellIs" dxfId="129" priority="13" operator="lessThan">
      <formula>0</formula>
    </cfRule>
  </conditionalFormatting>
  <conditionalFormatting sqref="AS6">
    <cfRule type="cellIs" dxfId="128" priority="12" operator="lessThan">
      <formula>0</formula>
    </cfRule>
  </conditionalFormatting>
  <conditionalFormatting sqref="AX6">
    <cfRule type="cellIs" dxfId="127" priority="11" operator="lessThan">
      <formula>0</formula>
    </cfRule>
  </conditionalFormatting>
  <conditionalFormatting sqref="BC6">
    <cfRule type="cellIs" dxfId="126" priority="10" operator="lessThan">
      <formula>0</formula>
    </cfRule>
  </conditionalFormatting>
  <conditionalFormatting sqref="BH6">
    <cfRule type="cellIs" dxfId="125" priority="9" operator="lessThan">
      <formula>0</formula>
    </cfRule>
  </conditionalFormatting>
  <conditionalFormatting sqref="BM6">
    <cfRule type="cellIs" dxfId="124" priority="8" operator="lessThan">
      <formula>0</formula>
    </cfRule>
  </conditionalFormatting>
  <conditionalFormatting sqref="BR6">
    <cfRule type="cellIs" dxfId="123" priority="7" operator="lessThan">
      <formula>0</formula>
    </cfRule>
  </conditionalFormatting>
  <conditionalFormatting sqref="BW6">
    <cfRule type="cellIs" dxfId="122" priority="6" operator="lessThan">
      <formula>0</formula>
    </cfRule>
  </conditionalFormatting>
  <conditionalFormatting sqref="CB6">
    <cfRule type="cellIs" dxfId="121" priority="5" operator="lessThan">
      <formula>0</formula>
    </cfRule>
  </conditionalFormatting>
  <conditionalFormatting sqref="CG6">
    <cfRule type="cellIs" dxfId="120" priority="4" operator="lessThan">
      <formula>0</formula>
    </cfRule>
  </conditionalFormatting>
  <conditionalFormatting sqref="CL6">
    <cfRule type="cellIs" dxfId="119" priority="3" operator="lessThan">
      <formula>0</formula>
    </cfRule>
  </conditionalFormatting>
  <conditionalFormatting sqref="CQ6">
    <cfRule type="cellIs" dxfId="118" priority="2" operator="lessThan">
      <formula>0</formula>
    </cfRule>
  </conditionalFormatting>
  <conditionalFormatting sqref="CV6">
    <cfRule type="cellIs" dxfId="117" priority="1" operator="lessThan">
      <formula>0</formula>
    </cfRule>
  </conditionalFormatting>
  <dataValidations count="1">
    <dataValidation showInputMessage="1" errorTitle="Edição não permitida" error="coloca 75" sqref="E5 CQ5 J5 O5 T5 Y5 AD5 AI5 AN5 AS5 AX5 BC5 BH5 BM5 BR5 BW5 CB5 CG5 CL5 CV5" xr:uid="{00000000-0002-0000-0900-000000000000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drawing r:id="rId2"/>
  <tableParts count="4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ione o subgrupo" xr:uid="{00000000-0002-0000-0900-000001000000}">
          <x14:formula1>
            <xm:f>Referências!$Q$2:$Q$3</xm:f>
          </x14:formula1>
          <xm:sqref>CQ3 E3 J3 O3 T3 Y3 AD3 AI3 AN3 AS3 AX3 BC3 BH3 BM3 BR3 BW3 CB3 CG3 CL3 CV3</xm:sqref>
        </x14:dataValidation>
        <x14:dataValidation type="list" allowBlank="1" showInputMessage="1" showErrorMessage="1" promptTitle="Selecione o subgrupo" xr:uid="{71FE349E-2FC3-4CF2-A54F-ED7F978F3C84}">
          <x14:formula1>
            <xm:f>Referências!$T$2:$T$6</xm:f>
          </x14:formula1>
          <xm:sqref>E4 J4 O4 T4 Y4 AD4 AI4 AN4 AS4 AX4 BC4 BH4 BM4 BR4 BW4 CB4 CG4 CL4 CQ4 CV4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4"/>
  <dimension ref="A1:AI69"/>
  <sheetViews>
    <sheetView zoomScale="115" zoomScaleNormal="115" workbookViewId="0">
      <selection activeCell="P10" sqref="P10"/>
    </sheetView>
  </sheetViews>
  <sheetFormatPr defaultColWidth="0" defaultRowHeight="15" x14ac:dyDescent="0.25"/>
  <cols>
    <col min="1" max="3" width="3.7109375" style="52" customWidth="1"/>
    <col min="4" max="4" width="18.42578125" style="52" customWidth="1"/>
    <col min="5" max="15" width="3.7109375" style="52" customWidth="1"/>
    <col min="16" max="16" width="6.7109375" style="52" bestFit="1" customWidth="1"/>
    <col min="17" max="27" width="3.7109375" style="52" customWidth="1"/>
    <col min="28" max="28" width="7.42578125" style="52" customWidth="1"/>
    <col min="29" max="29" width="3.7109375" style="52" customWidth="1"/>
    <col min="30" max="30" width="7.140625" style="52" bestFit="1" customWidth="1"/>
    <col min="31" max="31" width="3.7109375" style="52" customWidth="1"/>
    <col min="32" max="32" width="3.5703125" style="52" customWidth="1"/>
    <col min="33" max="34" width="3.7109375" style="52" customWidth="1"/>
    <col min="35" max="35" width="9.140625" style="52" customWidth="1"/>
    <col min="36" max="16384" width="9.140625" hidden="1"/>
  </cols>
  <sheetData>
    <row r="1" spans="2:34" ht="15" customHeight="1" x14ac:dyDescent="0.25"/>
    <row r="2" spans="2:34" ht="15" customHeight="1" x14ac:dyDescent="0.25">
      <c r="B2" s="83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</row>
    <row r="3" spans="2:34" ht="15" customHeight="1" x14ac:dyDescent="0.25">
      <c r="B3" s="73"/>
      <c r="C3" s="54" t="s">
        <v>3824</v>
      </c>
      <c r="AH3" s="55"/>
    </row>
    <row r="4" spans="2:34" ht="15" customHeight="1" x14ac:dyDescent="0.25">
      <c r="B4" s="73"/>
      <c r="D4" s="52" t="s">
        <v>3825</v>
      </c>
      <c r="J4" s="684" t="str">
        <f>Tarifas!AC3</f>
        <v>CPFL Piratininga</v>
      </c>
      <c r="K4" s="685"/>
      <c r="L4" s="685"/>
      <c r="M4" s="685"/>
      <c r="N4" s="685"/>
      <c r="O4" s="685"/>
      <c r="P4" s="685"/>
      <c r="Q4" s="685"/>
      <c r="R4" s="681" t="s">
        <v>3826</v>
      </c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3"/>
      <c r="AH4" s="55"/>
    </row>
    <row r="5" spans="2:34" ht="15" customHeight="1" x14ac:dyDescent="0.25">
      <c r="B5" s="73"/>
      <c r="D5" s="52" t="s">
        <v>3827</v>
      </c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55"/>
    </row>
    <row r="6" spans="2:34" ht="15" customHeight="1" x14ac:dyDescent="0.25">
      <c r="B6" s="73"/>
      <c r="D6" s="52" t="s">
        <v>3828</v>
      </c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55"/>
    </row>
    <row r="7" spans="2:34" ht="15" customHeight="1" x14ac:dyDescent="0.25">
      <c r="B7" s="73"/>
      <c r="D7" s="52" t="s">
        <v>3829</v>
      </c>
      <c r="J7" s="688"/>
      <c r="K7" s="688"/>
      <c r="L7" s="688"/>
      <c r="M7" s="688"/>
      <c r="N7" s="688"/>
      <c r="P7" s="52" t="s">
        <v>3830</v>
      </c>
      <c r="R7" s="689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55"/>
    </row>
    <row r="8" spans="2:34" ht="15" customHeight="1" x14ac:dyDescent="0.25">
      <c r="B8" s="73"/>
      <c r="D8" s="52" t="s">
        <v>3831</v>
      </c>
      <c r="J8" s="691"/>
      <c r="K8" s="692"/>
      <c r="L8" s="692"/>
      <c r="M8" s="692"/>
      <c r="N8" s="692"/>
      <c r="O8" s="693"/>
      <c r="P8" s="84"/>
      <c r="Q8" s="84"/>
      <c r="X8" s="52" t="s">
        <v>3832</v>
      </c>
      <c r="AD8" s="686">
        <v>0.08</v>
      </c>
      <c r="AE8" s="686"/>
      <c r="AF8" s="686"/>
      <c r="AG8" s="686"/>
      <c r="AH8" s="55"/>
    </row>
    <row r="9" spans="2:34" ht="15" customHeight="1" x14ac:dyDescent="0.25">
      <c r="B9" s="73"/>
      <c r="D9" s="52" t="s">
        <v>3833</v>
      </c>
      <c r="J9" s="697" t="s">
        <v>30</v>
      </c>
      <c r="K9" s="697"/>
      <c r="L9" s="697"/>
      <c r="M9" s="697"/>
      <c r="N9" s="697"/>
      <c r="O9" s="697"/>
      <c r="P9" s="84"/>
      <c r="Q9" s="84"/>
      <c r="AD9" s="694"/>
      <c r="AE9" s="695"/>
      <c r="AF9" s="695"/>
      <c r="AG9" s="695"/>
      <c r="AH9" s="55"/>
    </row>
    <row r="10" spans="2:34" ht="15" customHeight="1" x14ac:dyDescent="0.25">
      <c r="B10" s="73"/>
      <c r="AH10" s="55"/>
    </row>
    <row r="11" spans="2:34" ht="15" customHeight="1" x14ac:dyDescent="0.25">
      <c r="B11" s="73"/>
      <c r="C11" s="54" t="s">
        <v>5111</v>
      </c>
      <c r="AH11" s="55"/>
    </row>
    <row r="12" spans="2:34" ht="15" customHeight="1" x14ac:dyDescent="0.25">
      <c r="B12" s="73"/>
      <c r="D12" s="52" t="s">
        <v>696</v>
      </c>
      <c r="J12" s="687"/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87"/>
      <c r="AA12" s="687"/>
      <c r="AB12" s="687"/>
      <c r="AC12" s="687"/>
      <c r="AD12" s="687"/>
      <c r="AE12" s="687"/>
      <c r="AF12" s="687"/>
      <c r="AG12" s="687"/>
      <c r="AH12" s="55"/>
    </row>
    <row r="13" spans="2:34" customFormat="1" x14ac:dyDescent="0.25">
      <c r="B13" s="601"/>
      <c r="D13" s="722" t="s">
        <v>5159</v>
      </c>
      <c r="E13" s="722"/>
      <c r="F13" s="722"/>
      <c r="G13" s="722"/>
      <c r="H13" s="722"/>
      <c r="I13" s="602"/>
      <c r="J13" s="721"/>
      <c r="K13" s="721"/>
      <c r="L13" s="721"/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603"/>
    </row>
    <row r="14" spans="2:34" ht="15" customHeight="1" x14ac:dyDescent="0.25">
      <c r="B14" s="73"/>
      <c r="D14" s="52" t="s">
        <v>3834</v>
      </c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55"/>
    </row>
    <row r="15" spans="2:34" ht="15" customHeight="1" x14ac:dyDescent="0.25">
      <c r="B15" s="73"/>
      <c r="D15" s="52" t="s">
        <v>3835</v>
      </c>
      <c r="J15" s="699"/>
      <c r="K15" s="700"/>
      <c r="L15" s="700"/>
      <c r="M15" s="700"/>
      <c r="N15" s="700"/>
      <c r="O15" s="700"/>
      <c r="P15" s="700"/>
      <c r="Q15" s="700"/>
      <c r="R15" s="70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55"/>
    </row>
    <row r="16" spans="2:34" ht="15" customHeight="1" x14ac:dyDescent="0.25">
      <c r="B16" s="73"/>
      <c r="D16" s="52" t="s">
        <v>3836</v>
      </c>
      <c r="J16" s="702"/>
      <c r="K16" s="702"/>
      <c r="L16" s="702"/>
      <c r="M16" s="702"/>
      <c r="N16" s="702"/>
      <c r="O16" s="702"/>
      <c r="P16" s="702"/>
      <c r="Q16" s="702"/>
      <c r="R16" s="702"/>
      <c r="AG16"/>
      <c r="AH16" s="55"/>
    </row>
    <row r="17" spans="2:34" ht="15" customHeight="1" x14ac:dyDescent="0.25">
      <c r="B17" s="73"/>
      <c r="D17" s="52" t="s">
        <v>3837</v>
      </c>
      <c r="J17" s="702" t="s">
        <v>497</v>
      </c>
      <c r="K17" s="702"/>
      <c r="L17" s="702"/>
      <c r="M17" s="702"/>
      <c r="N17" s="702"/>
      <c r="O17" s="702"/>
      <c r="P17" s="702"/>
      <c r="Q17" s="702"/>
      <c r="R17" s="702"/>
      <c r="AH17" s="55"/>
    </row>
    <row r="18" spans="2:34" ht="17.25" customHeight="1" x14ac:dyDescent="0.25">
      <c r="B18" s="73"/>
      <c r="D18" s="52" t="s">
        <v>8</v>
      </c>
      <c r="J18" s="702" t="s">
        <v>496</v>
      </c>
      <c r="K18" s="702"/>
      <c r="L18" s="702"/>
      <c r="M18" s="702"/>
      <c r="N18" s="702"/>
      <c r="O18" s="702"/>
      <c r="P18" s="702"/>
      <c r="Q18" s="702"/>
      <c r="R18" s="702"/>
      <c r="AH18" s="55"/>
    </row>
    <row r="19" spans="2:34" ht="15.75" customHeight="1" x14ac:dyDescent="0.25">
      <c r="B19" s="73"/>
      <c r="D19" s="52" t="s">
        <v>3838</v>
      </c>
      <c r="J19" s="698" t="s">
        <v>498</v>
      </c>
      <c r="K19" s="698"/>
      <c r="L19" s="698"/>
      <c r="M19" s="698"/>
      <c r="N19" s="698"/>
      <c r="O19" s="698"/>
      <c r="P19" s="698"/>
      <c r="Q19" s="698"/>
      <c r="R19" s="698"/>
      <c r="AH19" s="55"/>
    </row>
    <row r="20" spans="2:34" ht="15" customHeight="1" x14ac:dyDescent="0.25">
      <c r="B20" s="73"/>
      <c r="D20" s="52" t="s">
        <v>671</v>
      </c>
      <c r="J20" s="698" t="s">
        <v>499</v>
      </c>
      <c r="K20" s="698"/>
      <c r="L20" s="698"/>
      <c r="M20" s="698"/>
      <c r="N20" s="698"/>
      <c r="O20" s="698"/>
      <c r="P20" s="698"/>
      <c r="Q20" s="698"/>
      <c r="R20" s="698"/>
      <c r="AH20" s="55"/>
    </row>
    <row r="21" spans="2:34" ht="15" customHeight="1" x14ac:dyDescent="0.25">
      <c r="B21" s="8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2:34" ht="15" customHeight="1" x14ac:dyDescent="0.25">
      <c r="B22" s="79"/>
    </row>
    <row r="23" spans="2:34" ht="15" customHeight="1" x14ac:dyDescent="0.25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1"/>
    </row>
    <row r="24" spans="2:34" ht="15" customHeight="1" x14ac:dyDescent="0.25">
      <c r="B24" s="62"/>
      <c r="C24" s="85" t="s">
        <v>3839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</row>
    <row r="25" spans="2:34" ht="15" customHeight="1" x14ac:dyDescent="0.25">
      <c r="B25" s="62"/>
      <c r="C25" s="63"/>
      <c r="D25" s="63" t="s">
        <v>3840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</row>
    <row r="26" spans="2:34" ht="15" customHeight="1" x14ac:dyDescent="0.25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</row>
    <row r="27" spans="2:34" ht="15" customHeight="1" x14ac:dyDescent="0.3">
      <c r="B27" s="62"/>
      <c r="C27" s="86" t="str">
        <f>IF(CPFL!L4="não","",IF(CPFL!L4="sim","a","r"))</f>
        <v/>
      </c>
      <c r="D27" s="63" t="s">
        <v>21</v>
      </c>
      <c r="E27" s="63"/>
      <c r="F27" s="63"/>
      <c r="G27" s="63"/>
      <c r="H27" s="63"/>
      <c r="I27" s="63"/>
      <c r="J27" s="63"/>
      <c r="K27" s="63"/>
      <c r="L27" s="86" t="str">
        <f>IF(CPFL!L6="não","",IF(CPFL!L6="sim","a","r"))</f>
        <v/>
      </c>
      <c r="M27" s="63" t="s">
        <v>42</v>
      </c>
      <c r="N27" s="63"/>
      <c r="O27" s="63"/>
      <c r="P27" s="63"/>
      <c r="Q27" s="63"/>
      <c r="R27" s="63"/>
      <c r="S27" s="63"/>
      <c r="T27" s="86" t="str">
        <f>IF(CPFL!L8="não","",IF(CPFL!L8="sim","a","r"))</f>
        <v/>
      </c>
      <c r="U27" s="63" t="s">
        <v>61</v>
      </c>
      <c r="V27" s="63"/>
      <c r="W27" s="63"/>
      <c r="X27" s="63"/>
      <c r="Y27" s="63"/>
      <c r="Z27" s="63"/>
      <c r="AA27" s="63"/>
      <c r="AB27" s="63"/>
      <c r="AC27" s="86" t="str">
        <f>IF(CPFL!L10="não","",IF(CPFL!L10="sim","a","r"))</f>
        <v/>
      </c>
      <c r="AD27" s="63" t="s">
        <v>71</v>
      </c>
      <c r="AE27" s="63"/>
      <c r="AF27" s="63"/>
      <c r="AG27" s="63"/>
      <c r="AH27" s="64"/>
    </row>
    <row r="28" spans="2:34" ht="15" customHeight="1" x14ac:dyDescent="0.25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4"/>
    </row>
    <row r="29" spans="2:34" ht="15" customHeight="1" x14ac:dyDescent="0.3">
      <c r="B29" s="62"/>
      <c r="C29" s="86" t="str">
        <f>IF(CPFL!L5="não","",IF(CPFL!L5="sim","a","r"))</f>
        <v/>
      </c>
      <c r="D29" s="63" t="s">
        <v>31</v>
      </c>
      <c r="E29" s="63"/>
      <c r="F29" s="63"/>
      <c r="G29" s="63"/>
      <c r="H29" s="63"/>
      <c r="I29" s="63"/>
      <c r="J29" s="63"/>
      <c r="K29" s="63"/>
      <c r="L29" s="86" t="str">
        <f>IF(CPFL!L7="não","",IF(CPFL!L7="sim","a","r"))</f>
        <v/>
      </c>
      <c r="M29" s="63" t="s">
        <v>52</v>
      </c>
      <c r="N29" s="63"/>
      <c r="O29" s="63"/>
      <c r="P29" s="63"/>
      <c r="Q29" s="63"/>
      <c r="R29" s="63"/>
      <c r="S29" s="63"/>
      <c r="T29" s="86" t="str">
        <f>IF(CPFL!L9="não","",IF(CPFL!L9="sim","a","r"))</f>
        <v/>
      </c>
      <c r="U29" s="63" t="s">
        <v>3841</v>
      </c>
      <c r="V29" s="63"/>
      <c r="W29" s="63"/>
      <c r="X29" s="63"/>
      <c r="Y29" s="63"/>
      <c r="Z29" s="63"/>
      <c r="AA29" s="63"/>
      <c r="AB29" s="63"/>
      <c r="AC29" s="86" t="str">
        <f>IF(CPFL!L11="não","",IF(CPFL!L11="sim","a","r"))</f>
        <v/>
      </c>
      <c r="AD29" s="63" t="s">
        <v>5133</v>
      </c>
      <c r="AE29" s="63"/>
      <c r="AF29" s="63"/>
      <c r="AG29" s="63"/>
      <c r="AH29" s="64"/>
    </row>
    <row r="30" spans="2:34" ht="15" customHeight="1" x14ac:dyDescent="0.2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</row>
    <row r="31" spans="2:34" ht="15" customHeight="1" x14ac:dyDescent="0.25">
      <c r="B31" s="62"/>
      <c r="C31" s="85" t="s">
        <v>3842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/>
    </row>
    <row r="32" spans="2:34" ht="15" customHeight="1" x14ac:dyDescent="0.25">
      <c r="B32" s="62"/>
      <c r="C32" s="63"/>
      <c r="D32" s="63"/>
      <c r="E32" s="63"/>
      <c r="F32" s="63"/>
      <c r="G32" s="63"/>
      <c r="H32" s="63"/>
      <c r="I32" s="87" t="s">
        <v>3843</v>
      </c>
      <c r="J32" s="696">
        <f>'Escolha tarifa'!E17</f>
        <v>0</v>
      </c>
      <c r="K32" s="696"/>
      <c r="L32" s="696"/>
      <c r="M32" s="696"/>
      <c r="N32" s="696"/>
      <c r="O32" s="63" t="s">
        <v>3844</v>
      </c>
      <c r="P32" s="63"/>
      <c r="Q32" s="63"/>
      <c r="R32" s="87"/>
      <c r="S32" s="87"/>
      <c r="T32" s="63"/>
      <c r="U32" s="87" t="s">
        <v>3845</v>
      </c>
      <c r="V32" s="696">
        <f>'Escolha tarifa'!F17</f>
        <v>0</v>
      </c>
      <c r="W32" s="696"/>
      <c r="X32" s="696"/>
      <c r="Y32" s="696"/>
      <c r="Z32" s="696"/>
      <c r="AA32" s="63" t="s">
        <v>3846</v>
      </c>
      <c r="AB32" s="63"/>
      <c r="AC32" s="63"/>
      <c r="AD32" s="63"/>
      <c r="AE32" s="63"/>
      <c r="AF32" s="63"/>
      <c r="AG32" s="63"/>
      <c r="AH32" s="64"/>
    </row>
    <row r="33" spans="2:34" ht="15" customHeight="1" x14ac:dyDescent="0.25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529"/>
      <c r="R33" s="529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4"/>
    </row>
    <row r="34" spans="2:34" ht="15" customHeight="1" x14ac:dyDescent="0.25">
      <c r="B34" s="62"/>
      <c r="C34" s="63"/>
      <c r="D34" s="63"/>
      <c r="E34" s="63"/>
      <c r="F34" s="63"/>
      <c r="G34" s="63"/>
      <c r="H34" s="63"/>
      <c r="I34" s="87" t="s">
        <v>3847</v>
      </c>
      <c r="J34" s="704">
        <f>'Escolha tarifa'!E18</f>
        <v>3409</v>
      </c>
      <c r="K34" s="705"/>
      <c r="L34" s="705"/>
      <c r="M34" s="705"/>
      <c r="N34" s="705"/>
      <c r="O34" s="63"/>
      <c r="P34" s="63"/>
      <c r="Q34" s="529"/>
      <c r="R34" s="529"/>
      <c r="S34" s="63"/>
      <c r="T34" s="63"/>
      <c r="U34" s="87" t="s">
        <v>3848</v>
      </c>
      <c r="V34" s="708">
        <f>'Escolha tarifa'!F18</f>
        <v>45587</v>
      </c>
      <c r="W34" s="705"/>
      <c r="X34" s="705"/>
      <c r="Y34" s="705"/>
      <c r="Z34" s="705"/>
      <c r="AA34" s="63"/>
      <c r="AB34" s="63"/>
      <c r="AC34" s="63"/>
      <c r="AD34" s="63"/>
      <c r="AE34" s="63"/>
      <c r="AF34" s="63"/>
      <c r="AG34" s="63"/>
      <c r="AH34" s="64"/>
    </row>
    <row r="35" spans="2:34" ht="15" customHeight="1" x14ac:dyDescent="0.25">
      <c r="B35" s="62"/>
      <c r="C35" s="63"/>
      <c r="D35" s="63"/>
      <c r="E35" s="63"/>
      <c r="F35" s="63"/>
      <c r="G35" s="63"/>
      <c r="H35" s="63"/>
      <c r="I35" s="87" t="s">
        <v>3849</v>
      </c>
      <c r="J35" s="709">
        <f>'Escolha tarifa'!F19</f>
        <v>0.75</v>
      </c>
      <c r="K35" s="709"/>
      <c r="L35" s="709"/>
      <c r="M35" s="709"/>
      <c r="N35" s="709"/>
      <c r="O35" s="63"/>
      <c r="P35" s="63"/>
      <c r="Q35" s="529"/>
      <c r="R35" s="529"/>
      <c r="S35" s="63"/>
      <c r="T35" s="63"/>
      <c r="U35" s="87" t="s">
        <v>3850</v>
      </c>
      <c r="V35" s="709">
        <f>'Escolha tarifa'!F20</f>
        <v>0.15</v>
      </c>
      <c r="W35" s="709"/>
      <c r="X35" s="709"/>
      <c r="Y35" s="709"/>
      <c r="Z35" s="709"/>
      <c r="AA35" s="63"/>
      <c r="AB35" s="63"/>
      <c r="AC35" s="63"/>
      <c r="AD35" s="63"/>
      <c r="AE35" s="63"/>
      <c r="AF35" s="63"/>
      <c r="AG35" s="63"/>
      <c r="AH35" s="64"/>
    </row>
    <row r="36" spans="2:34" ht="15" customHeight="1" x14ac:dyDescent="0.2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2:34" ht="15" customHeight="1" x14ac:dyDescent="0.25">
      <c r="B37" s="62"/>
      <c r="C37" s="85" t="s">
        <v>3851</v>
      </c>
      <c r="D37" s="63"/>
      <c r="E37" s="63"/>
      <c r="F37" s="63"/>
      <c r="G37" s="63"/>
      <c r="H37" s="63"/>
      <c r="I37" s="63"/>
      <c r="J37" s="63"/>
      <c r="K37" s="63"/>
      <c r="L37" s="707">
        <f>CustoContabil!C20</f>
        <v>3000</v>
      </c>
      <c r="M37" s="707"/>
      <c r="N37" s="707"/>
      <c r="O37" s="707"/>
      <c r="P37" s="707"/>
      <c r="Q37" s="63"/>
      <c r="R37" s="63"/>
      <c r="S37" s="63"/>
      <c r="T37" s="63"/>
      <c r="U37" s="63" t="s">
        <v>3852</v>
      </c>
      <c r="V37" s="63"/>
      <c r="W37" s="63"/>
      <c r="X37" s="63"/>
      <c r="Y37" s="63"/>
      <c r="Z37" s="63"/>
      <c r="AA37" s="63"/>
      <c r="AB37" s="63"/>
      <c r="AC37" s="706">
        <f>CustoContabil!E20</f>
        <v>3000</v>
      </c>
      <c r="AD37" s="706"/>
      <c r="AE37" s="706"/>
      <c r="AF37" s="706"/>
      <c r="AG37" s="706"/>
      <c r="AH37" s="64"/>
    </row>
    <row r="38" spans="2:34" ht="15" customHeight="1" x14ac:dyDescent="0.25">
      <c r="B38" s="62"/>
      <c r="C38" s="85" t="s">
        <v>3853</v>
      </c>
      <c r="D38" s="63"/>
      <c r="E38" s="63"/>
      <c r="F38" s="63"/>
      <c r="G38" s="63"/>
      <c r="H38" s="63"/>
      <c r="I38" s="63"/>
      <c r="J38" s="63"/>
      <c r="K38" s="63"/>
      <c r="L38" s="696">
        <f>RCB!C15</f>
        <v>0</v>
      </c>
      <c r="M38" s="696"/>
      <c r="N38" s="696"/>
      <c r="O38" s="696"/>
      <c r="P38" s="696"/>
      <c r="Q38" s="85" t="s">
        <v>3854</v>
      </c>
      <c r="R38" s="63"/>
      <c r="S38" s="63"/>
      <c r="T38" s="63"/>
      <c r="U38" s="63" t="s">
        <v>3855</v>
      </c>
      <c r="V38" s="63"/>
      <c r="W38" s="63"/>
      <c r="X38" s="63"/>
      <c r="Y38" s="63"/>
      <c r="Z38" s="63"/>
      <c r="AA38" s="63"/>
      <c r="AB38" s="63"/>
      <c r="AC38" s="706">
        <f>CustoContabil!F20</f>
        <v>0</v>
      </c>
      <c r="AD38" s="706"/>
      <c r="AE38" s="706"/>
      <c r="AF38" s="706"/>
      <c r="AG38" s="706"/>
      <c r="AH38" s="64"/>
    </row>
    <row r="39" spans="2:34" ht="15" customHeight="1" x14ac:dyDescent="0.25">
      <c r="B39" s="62"/>
      <c r="C39" s="85" t="s">
        <v>3856</v>
      </c>
      <c r="D39" s="63"/>
      <c r="E39" s="63"/>
      <c r="F39" s="63"/>
      <c r="G39" s="63"/>
      <c r="H39" s="63"/>
      <c r="I39" s="63"/>
      <c r="J39" s="63"/>
      <c r="K39" s="63"/>
      <c r="L39" s="696">
        <f>RCB!D15</f>
        <v>0</v>
      </c>
      <c r="M39" s="696"/>
      <c r="N39" s="696"/>
      <c r="O39" s="696"/>
      <c r="P39" s="696"/>
      <c r="Q39" s="85" t="s">
        <v>3857</v>
      </c>
      <c r="R39" s="63"/>
      <c r="S39" s="63"/>
      <c r="T39" s="63"/>
      <c r="U39" s="63" t="s">
        <v>3858</v>
      </c>
      <c r="V39" s="63"/>
      <c r="W39" s="63"/>
      <c r="X39" s="63"/>
      <c r="Y39" s="63"/>
      <c r="Z39" s="63"/>
      <c r="AA39" s="63"/>
      <c r="AB39" s="63"/>
      <c r="AC39" s="706">
        <f>CustoContabil!G20</f>
        <v>0</v>
      </c>
      <c r="AD39" s="706"/>
      <c r="AE39" s="706"/>
      <c r="AF39" s="706"/>
      <c r="AG39" s="706"/>
      <c r="AH39" s="64"/>
    </row>
    <row r="40" spans="2:34" ht="15" customHeight="1" x14ac:dyDescent="0.25">
      <c r="B40" s="62"/>
      <c r="C40" s="85"/>
      <c r="D40" s="63"/>
      <c r="E40" s="63"/>
      <c r="F40" s="63"/>
      <c r="G40" s="63"/>
      <c r="H40" s="63"/>
      <c r="I40" s="63"/>
      <c r="J40" s="63"/>
      <c r="K40" s="63"/>
      <c r="L40" s="88"/>
      <c r="M40" s="88"/>
      <c r="N40" s="88"/>
      <c r="O40" s="88"/>
      <c r="P40" s="88"/>
      <c r="Q40" s="85"/>
      <c r="R40" s="63"/>
      <c r="S40" s="63"/>
      <c r="T40" s="63"/>
      <c r="U40" s="63" t="s">
        <v>3859</v>
      </c>
      <c r="V40" s="63"/>
      <c r="W40" s="63"/>
      <c r="X40" s="63"/>
      <c r="Y40" s="63"/>
      <c r="Z40" s="63"/>
      <c r="AA40" s="63"/>
      <c r="AB40" s="63"/>
      <c r="AC40" s="713">
        <f>ROUNDUP(CPFL!AU11*12,0)</f>
        <v>0</v>
      </c>
      <c r="AD40" s="713"/>
      <c r="AE40" s="63" t="s">
        <v>3860</v>
      </c>
      <c r="AF40" s="63"/>
      <c r="AG40" s="63"/>
      <c r="AH40" s="64"/>
    </row>
    <row r="41" spans="2:34" ht="15" customHeight="1" x14ac:dyDescent="0.25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</row>
    <row r="42" spans="2:34" ht="15" customHeight="1" x14ac:dyDescent="0.25">
      <c r="B42" s="62"/>
      <c r="C42" s="63"/>
      <c r="D42" s="63"/>
      <c r="E42" s="714"/>
      <c r="F42" s="714"/>
      <c r="G42" s="714"/>
      <c r="H42" s="714"/>
      <c r="I42" s="714"/>
      <c r="J42" s="714"/>
      <c r="K42" s="723" t="s">
        <v>5160</v>
      </c>
      <c r="L42" s="723"/>
      <c r="M42" s="723"/>
      <c r="N42" s="723"/>
      <c r="O42" s="723"/>
      <c r="P42" s="723"/>
      <c r="Q42" s="724">
        <f>RCB!$H$7</f>
        <v>0</v>
      </c>
      <c r="R42" s="724"/>
      <c r="S42" s="724"/>
      <c r="T42" s="724"/>
      <c r="U42" s="724"/>
      <c r="V42" s="604"/>
      <c r="W42" s="604"/>
      <c r="X42" s="604"/>
      <c r="Y42" s="604"/>
      <c r="Z42" s="63"/>
      <c r="AA42" s="63"/>
      <c r="AB42" s="63"/>
      <c r="AC42" s="63"/>
      <c r="AD42" s="63"/>
      <c r="AE42" s="63"/>
      <c r="AF42" s="63"/>
      <c r="AG42" s="63"/>
      <c r="AH42" s="64"/>
    </row>
    <row r="43" spans="2:34" ht="15" customHeight="1" x14ac:dyDescent="0.25">
      <c r="B43" s="62"/>
      <c r="C43" s="63"/>
      <c r="D43" s="63"/>
      <c r="E43" s="714"/>
      <c r="F43" s="714"/>
      <c r="G43" s="714"/>
      <c r="H43" s="714"/>
      <c r="I43" s="714"/>
      <c r="J43" s="714"/>
      <c r="K43" s="723"/>
      <c r="L43" s="723"/>
      <c r="M43" s="723"/>
      <c r="N43" s="723"/>
      <c r="O43" s="723"/>
      <c r="P43" s="723"/>
      <c r="Q43" s="724"/>
      <c r="R43" s="724"/>
      <c r="S43" s="724"/>
      <c r="T43" s="724"/>
      <c r="U43" s="724"/>
      <c r="V43" s="604"/>
      <c r="W43" s="604"/>
      <c r="X43" s="604"/>
      <c r="Y43" s="604"/>
      <c r="Z43" s="63"/>
      <c r="AA43" s="63"/>
      <c r="AB43" s="63"/>
      <c r="AC43" s="63"/>
      <c r="AD43" s="63"/>
      <c r="AE43" s="63"/>
      <c r="AF43" s="63"/>
      <c r="AG43" s="63"/>
      <c r="AH43" s="64"/>
    </row>
    <row r="44" spans="2:34" ht="15" customHeight="1" x14ac:dyDescent="0.25"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8"/>
    </row>
    <row r="46" spans="2:34" ht="15" hidden="1" customHeight="1" x14ac:dyDescent="0.25"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1"/>
    </row>
    <row r="47" spans="2:34" ht="15" hidden="1" customHeight="1" x14ac:dyDescent="0.25">
      <c r="B47" s="92"/>
      <c r="C47" s="93" t="s">
        <v>3862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</row>
    <row r="48" spans="2:34" ht="15" hidden="1" customHeight="1" x14ac:dyDescent="0.25">
      <c r="B48" s="92"/>
      <c r="C48" s="94"/>
      <c r="D48" s="94" t="s">
        <v>3863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5"/>
    </row>
    <row r="49" spans="2:34" ht="15" hidden="1" customHeight="1" x14ac:dyDescent="0.25">
      <c r="B49" s="92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5"/>
    </row>
    <row r="50" spans="2:34" ht="15" hidden="1" customHeight="1" x14ac:dyDescent="0.3">
      <c r="B50" s="92"/>
      <c r="C50" s="96" t="str">
        <f>IF(CPFL!O4="não","",IF(CPFL!O4="sim","a","r"))</f>
        <v/>
      </c>
      <c r="D50" s="94" t="s">
        <v>21</v>
      </c>
      <c r="E50" s="94"/>
      <c r="F50" s="94"/>
      <c r="G50" s="94"/>
      <c r="H50" s="94"/>
      <c r="I50" s="94"/>
      <c r="J50" s="94"/>
      <c r="K50" s="94"/>
      <c r="L50" s="96" t="str">
        <f>IF(CPFL!O6="não","",IF(CPFL!O6="sim","a","r"))</f>
        <v/>
      </c>
      <c r="M50" s="94" t="s">
        <v>42</v>
      </c>
      <c r="N50" s="94"/>
      <c r="O50" s="94"/>
      <c r="P50" s="94"/>
      <c r="Q50" s="94"/>
      <c r="R50" s="94"/>
      <c r="S50" s="94"/>
      <c r="T50" s="96" t="str">
        <f>IF(CPFL!O8="não","",IF(CPFL!O8="sim","a","r"))</f>
        <v/>
      </c>
      <c r="U50" s="94" t="s">
        <v>61</v>
      </c>
      <c r="V50" s="94"/>
      <c r="W50" s="94"/>
      <c r="X50" s="94"/>
      <c r="Y50" s="94"/>
      <c r="Z50" s="94"/>
      <c r="AA50" s="94"/>
      <c r="AB50" s="94"/>
      <c r="AC50" s="96" t="str">
        <f>IF(CPFL!O10="não","",IF(CPFL!O10="sim","a","r"))</f>
        <v/>
      </c>
      <c r="AD50" s="94" t="s">
        <v>71</v>
      </c>
      <c r="AE50" s="94"/>
      <c r="AF50" s="94"/>
      <c r="AG50" s="94"/>
      <c r="AH50" s="95"/>
    </row>
    <row r="51" spans="2:34" ht="15" hidden="1" customHeight="1" x14ac:dyDescent="0.25">
      <c r="B51" s="92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5"/>
    </row>
    <row r="52" spans="2:34" ht="15" hidden="1" customHeight="1" x14ac:dyDescent="0.3">
      <c r="B52" s="92"/>
      <c r="C52" s="96" t="str">
        <f>IF(CPFL!O5="não","",IF(CPFL!O5="sim","a","r"))</f>
        <v/>
      </c>
      <c r="D52" s="94" t="s">
        <v>31</v>
      </c>
      <c r="E52" s="94"/>
      <c r="F52" s="94"/>
      <c r="G52" s="94"/>
      <c r="H52" s="94"/>
      <c r="I52" s="94"/>
      <c r="J52" s="94"/>
      <c r="K52" s="94"/>
      <c r="L52" s="96" t="str">
        <f>IF(CPFL!O7="não","",IF(CPFL!O7="sim","a","r"))</f>
        <v/>
      </c>
      <c r="M52" s="94" t="s">
        <v>52</v>
      </c>
      <c r="N52" s="94"/>
      <c r="O52" s="94"/>
      <c r="P52" s="94"/>
      <c r="Q52" s="94"/>
      <c r="R52" s="94"/>
      <c r="S52" s="94"/>
      <c r="T52" s="96" t="str">
        <f>IF(CPFL!O9="não","",IF(CPFL!O9="sim","a","r"))</f>
        <v/>
      </c>
      <c r="U52" s="94" t="s">
        <v>67</v>
      </c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5"/>
    </row>
    <row r="53" spans="2:34" ht="15" hidden="1" customHeight="1" x14ac:dyDescent="0.25">
      <c r="B53" s="92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5"/>
    </row>
    <row r="54" spans="2:34" ht="15" hidden="1" customHeight="1" x14ac:dyDescent="0.25">
      <c r="B54" s="92"/>
      <c r="C54" s="93" t="s">
        <v>3864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5"/>
    </row>
    <row r="55" spans="2:34" ht="15" hidden="1" customHeight="1" x14ac:dyDescent="0.25">
      <c r="B55" s="92"/>
      <c r="C55" s="94"/>
      <c r="D55" s="94"/>
      <c r="E55" s="94"/>
      <c r="F55" s="94"/>
      <c r="G55" s="94"/>
      <c r="H55" s="94"/>
      <c r="I55" s="97" t="s">
        <v>3843</v>
      </c>
      <c r="J55" s="719">
        <f>J32</f>
        <v>0</v>
      </c>
      <c r="K55" s="719"/>
      <c r="L55" s="719"/>
      <c r="M55" s="719"/>
      <c r="N55" s="719"/>
      <c r="O55" s="94" t="s">
        <v>3844</v>
      </c>
      <c r="P55" s="94"/>
      <c r="Q55" s="94"/>
      <c r="R55" s="97"/>
      <c r="S55" s="97"/>
      <c r="T55" s="94"/>
      <c r="U55" s="97" t="s">
        <v>3845</v>
      </c>
      <c r="V55" s="719">
        <f>V32</f>
        <v>0</v>
      </c>
      <c r="W55" s="719"/>
      <c r="X55" s="719"/>
      <c r="Y55" s="719"/>
      <c r="Z55" s="719"/>
      <c r="AA55" s="94" t="s">
        <v>3846</v>
      </c>
      <c r="AB55" s="94"/>
      <c r="AC55" s="94"/>
      <c r="AD55" s="94"/>
      <c r="AE55" s="94"/>
      <c r="AF55" s="94"/>
      <c r="AG55" s="94"/>
      <c r="AH55" s="95"/>
    </row>
    <row r="56" spans="2:34" ht="15" hidden="1" customHeight="1" x14ac:dyDescent="0.25">
      <c r="B56" s="92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8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5"/>
    </row>
    <row r="57" spans="2:34" ht="15" hidden="1" customHeight="1" x14ac:dyDescent="0.25">
      <c r="B57" s="92"/>
      <c r="C57" s="94"/>
      <c r="D57" s="94"/>
      <c r="E57" s="94"/>
      <c r="F57" s="94"/>
      <c r="G57" s="94"/>
      <c r="H57" s="94"/>
      <c r="I57" s="97" t="s">
        <v>3847</v>
      </c>
      <c r="J57" s="710">
        <f>J34</f>
        <v>3409</v>
      </c>
      <c r="K57" s="711"/>
      <c r="L57" s="711"/>
      <c r="M57" s="711"/>
      <c r="N57" s="711"/>
      <c r="O57" s="94"/>
      <c r="P57" s="94"/>
      <c r="Q57" s="98"/>
      <c r="R57" s="98"/>
      <c r="S57" s="94"/>
      <c r="T57" s="94"/>
      <c r="U57" s="97" t="s">
        <v>3865</v>
      </c>
      <c r="V57" s="712">
        <f>V34</f>
        <v>45587</v>
      </c>
      <c r="W57" s="711"/>
      <c r="X57" s="711"/>
      <c r="Y57" s="711"/>
      <c r="Z57" s="711"/>
      <c r="AA57" s="94"/>
      <c r="AB57" s="94"/>
      <c r="AC57" s="94"/>
      <c r="AD57" s="94"/>
      <c r="AE57" s="94"/>
      <c r="AF57" s="94"/>
      <c r="AG57" s="94"/>
      <c r="AH57" s="95"/>
    </row>
    <row r="58" spans="2:34" ht="15" hidden="1" customHeight="1" x14ac:dyDescent="0.25">
      <c r="B58" s="92"/>
      <c r="C58" s="94"/>
      <c r="D58" s="94"/>
      <c r="E58" s="94"/>
      <c r="F58" s="94"/>
      <c r="G58" s="94"/>
      <c r="H58" s="94"/>
      <c r="I58" s="97" t="s">
        <v>3849</v>
      </c>
      <c r="J58" s="703">
        <f>J35</f>
        <v>0.75</v>
      </c>
      <c r="K58" s="703"/>
      <c r="L58" s="703"/>
      <c r="M58" s="703"/>
      <c r="N58" s="703"/>
      <c r="O58" s="94"/>
      <c r="P58" s="94"/>
      <c r="Q58" s="98"/>
      <c r="R58" s="98"/>
      <c r="S58" s="94"/>
      <c r="T58" s="94"/>
      <c r="U58" s="97" t="s">
        <v>3850</v>
      </c>
      <c r="V58" s="703">
        <f>V35</f>
        <v>0.15</v>
      </c>
      <c r="W58" s="703"/>
      <c r="X58" s="703"/>
      <c r="Y58" s="703"/>
      <c r="Z58" s="703"/>
      <c r="AA58" s="94"/>
      <c r="AB58" s="94"/>
      <c r="AC58" s="94"/>
      <c r="AD58" s="94"/>
      <c r="AE58" s="94"/>
      <c r="AF58" s="94"/>
      <c r="AG58" s="94"/>
      <c r="AH58" s="95"/>
    </row>
    <row r="59" spans="2:34" ht="15" hidden="1" customHeight="1" x14ac:dyDescent="0.25">
      <c r="B59" s="92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5"/>
    </row>
    <row r="60" spans="2:34" ht="15" hidden="1" customHeight="1" x14ac:dyDescent="0.25">
      <c r="B60" s="92"/>
      <c r="C60" s="93" t="s">
        <v>3866</v>
      </c>
      <c r="D60" s="94"/>
      <c r="E60" s="94"/>
      <c r="F60" s="94"/>
      <c r="G60" s="94"/>
      <c r="H60" s="94"/>
      <c r="I60" s="94"/>
      <c r="J60" s="94"/>
      <c r="K60" s="94"/>
      <c r="L60" s="717" t="e">
        <f>CustoContabil!#REF!</f>
        <v>#REF!</v>
      </c>
      <c r="M60" s="717"/>
      <c r="N60" s="717"/>
      <c r="O60" s="717"/>
      <c r="P60" s="717"/>
      <c r="Q60" s="94"/>
      <c r="R60" s="94"/>
      <c r="S60" s="94"/>
      <c r="T60" s="94"/>
      <c r="U60" s="94" t="s">
        <v>3852</v>
      </c>
      <c r="V60" s="94"/>
      <c r="W60" s="94"/>
      <c r="X60" s="94"/>
      <c r="Y60" s="94"/>
      <c r="Z60" s="94"/>
      <c r="AA60" s="94"/>
      <c r="AB60" s="94"/>
      <c r="AC60" s="718" t="e">
        <f>CustoContabil!#REF!</f>
        <v>#REF!</v>
      </c>
      <c r="AD60" s="718"/>
      <c r="AE60" s="718"/>
      <c r="AF60" s="718"/>
      <c r="AG60" s="718"/>
      <c r="AH60" s="95"/>
    </row>
    <row r="61" spans="2:34" ht="15" hidden="1" customHeight="1" x14ac:dyDescent="0.25">
      <c r="B61" s="92"/>
      <c r="C61" s="93" t="s">
        <v>3853</v>
      </c>
      <c r="D61" s="94"/>
      <c r="E61" s="94"/>
      <c r="F61" s="94"/>
      <c r="G61" s="94"/>
      <c r="H61" s="94"/>
      <c r="I61" s="94"/>
      <c r="J61" s="94"/>
      <c r="K61" s="94"/>
      <c r="L61" s="719">
        <f>RCB!C37</f>
        <v>0</v>
      </c>
      <c r="M61" s="719"/>
      <c r="N61" s="719"/>
      <c r="O61" s="719"/>
      <c r="P61" s="719"/>
      <c r="Q61" s="93" t="s">
        <v>3854</v>
      </c>
      <c r="R61" s="94"/>
      <c r="S61" s="94"/>
      <c r="T61" s="94"/>
      <c r="U61" s="94" t="s">
        <v>3867</v>
      </c>
      <c r="V61" s="94"/>
      <c r="W61" s="94"/>
      <c r="X61" s="94"/>
      <c r="Y61" s="94"/>
      <c r="Z61" s="94"/>
      <c r="AA61" s="94"/>
      <c r="AB61" s="94"/>
      <c r="AC61" s="718" t="e">
        <f>CustoContabil!#REF!</f>
        <v>#REF!</v>
      </c>
      <c r="AD61" s="718"/>
      <c r="AE61" s="718"/>
      <c r="AF61" s="718"/>
      <c r="AG61" s="718"/>
      <c r="AH61" s="95"/>
    </row>
    <row r="62" spans="2:34" ht="15" hidden="1" customHeight="1" x14ac:dyDescent="0.25">
      <c r="B62" s="92"/>
      <c r="C62" s="93" t="s">
        <v>3856</v>
      </c>
      <c r="D62" s="94"/>
      <c r="E62" s="94"/>
      <c r="F62" s="94"/>
      <c r="G62" s="94"/>
      <c r="H62" s="94"/>
      <c r="I62" s="94"/>
      <c r="J62" s="94"/>
      <c r="K62" s="94"/>
      <c r="L62" s="719">
        <f>RCB!D37</f>
        <v>0</v>
      </c>
      <c r="M62" s="719"/>
      <c r="N62" s="719"/>
      <c r="O62" s="719"/>
      <c r="P62" s="719"/>
      <c r="Q62" s="93" t="s">
        <v>3857</v>
      </c>
      <c r="R62" s="94"/>
      <c r="S62" s="94"/>
      <c r="T62" s="94"/>
      <c r="U62" s="94" t="s">
        <v>3868</v>
      </c>
      <c r="V62" s="94"/>
      <c r="W62" s="94"/>
      <c r="X62" s="94"/>
      <c r="Y62" s="94"/>
      <c r="Z62" s="94"/>
      <c r="AA62" s="94"/>
      <c r="AB62" s="94"/>
      <c r="AC62" s="718" t="e">
        <f>CustoContabil!#REF!</f>
        <v>#REF!</v>
      </c>
      <c r="AD62" s="718"/>
      <c r="AE62" s="718"/>
      <c r="AF62" s="718"/>
      <c r="AG62" s="718"/>
      <c r="AH62" s="95"/>
    </row>
    <row r="63" spans="2:34" ht="15" hidden="1" customHeight="1" x14ac:dyDescent="0.25">
      <c r="B63" s="92"/>
      <c r="C63" s="93"/>
      <c r="D63" s="94"/>
      <c r="E63" s="94"/>
      <c r="F63" s="94"/>
      <c r="G63" s="94"/>
      <c r="H63" s="94"/>
      <c r="I63" s="94"/>
      <c r="J63" s="94"/>
      <c r="K63" s="94"/>
      <c r="L63" s="99"/>
      <c r="M63" s="99"/>
      <c r="N63" s="99"/>
      <c r="O63" s="99"/>
      <c r="P63" s="99"/>
      <c r="Q63" s="93"/>
      <c r="R63" s="94"/>
      <c r="S63" s="94"/>
      <c r="T63" s="94"/>
      <c r="U63" s="94" t="s">
        <v>3869</v>
      </c>
      <c r="V63" s="94"/>
      <c r="W63" s="94"/>
      <c r="X63" s="94"/>
      <c r="Y63" s="94"/>
      <c r="Z63" s="94"/>
      <c r="AA63" s="94"/>
      <c r="AB63" s="94"/>
      <c r="AC63" s="720">
        <f>ROUNDUP(CPFL!AZ11*12,0)</f>
        <v>0</v>
      </c>
      <c r="AD63" s="720"/>
      <c r="AE63" s="94" t="s">
        <v>3860</v>
      </c>
      <c r="AF63" s="94"/>
      <c r="AG63" s="94"/>
      <c r="AH63" s="95"/>
    </row>
    <row r="64" spans="2:34" ht="15" hidden="1" customHeight="1" x14ac:dyDescent="0.25">
      <c r="B64" s="92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5"/>
    </row>
    <row r="65" spans="2:34" ht="15" hidden="1" customHeight="1" x14ac:dyDescent="0.25">
      <c r="B65" s="92"/>
      <c r="C65" s="94"/>
      <c r="D65" s="94"/>
      <c r="E65" s="715" t="s">
        <v>3861</v>
      </c>
      <c r="F65" s="715"/>
      <c r="G65" s="715"/>
      <c r="H65" s="715"/>
      <c r="I65" s="715"/>
      <c r="J65" s="715"/>
      <c r="K65" s="716">
        <f>CPFL!$X$8</f>
        <v>0.75</v>
      </c>
      <c r="L65" s="716"/>
      <c r="M65" s="716"/>
      <c r="N65" s="716"/>
      <c r="O65" s="716"/>
      <c r="P65" s="94"/>
      <c r="Q65" s="94"/>
      <c r="R65" s="94"/>
      <c r="S65" s="94"/>
      <c r="T65" s="715" t="s">
        <v>3870</v>
      </c>
      <c r="U65" s="715"/>
      <c r="V65" s="715"/>
      <c r="W65" s="715"/>
      <c r="X65" s="715"/>
      <c r="Y65" s="715"/>
      <c r="Z65" s="716">
        <f>RCB!$H$30</f>
        <v>0</v>
      </c>
      <c r="AA65" s="716"/>
      <c r="AB65" s="716"/>
      <c r="AC65" s="716"/>
      <c r="AD65" s="716"/>
      <c r="AE65" s="94"/>
      <c r="AF65" s="94"/>
      <c r="AG65" s="94"/>
      <c r="AH65" s="95"/>
    </row>
    <row r="66" spans="2:34" ht="15" hidden="1" customHeight="1" x14ac:dyDescent="0.25">
      <c r="B66" s="92"/>
      <c r="C66" s="94"/>
      <c r="D66" s="94"/>
      <c r="E66" s="715"/>
      <c r="F66" s="715"/>
      <c r="G66" s="715"/>
      <c r="H66" s="715"/>
      <c r="I66" s="715"/>
      <c r="J66" s="715"/>
      <c r="K66" s="716"/>
      <c r="L66" s="716"/>
      <c r="M66" s="716"/>
      <c r="N66" s="716"/>
      <c r="O66" s="716"/>
      <c r="P66" s="94"/>
      <c r="Q66" s="94"/>
      <c r="R66" s="94"/>
      <c r="S66" s="94"/>
      <c r="T66" s="715"/>
      <c r="U66" s="715"/>
      <c r="V66" s="715"/>
      <c r="W66" s="715"/>
      <c r="X66" s="715"/>
      <c r="Y66" s="715"/>
      <c r="Z66" s="716"/>
      <c r="AA66" s="716"/>
      <c r="AB66" s="716"/>
      <c r="AC66" s="716"/>
      <c r="AD66" s="716"/>
      <c r="AE66" s="94"/>
      <c r="AF66" s="94"/>
      <c r="AG66" s="94"/>
      <c r="AH66" s="95"/>
    </row>
    <row r="67" spans="2:34" ht="15" hidden="1" customHeigh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2"/>
    </row>
    <row r="68" spans="2:34" hidden="1" x14ac:dyDescent="0.25"/>
    <row r="69" spans="2:34" hidden="1" x14ac:dyDescent="0.25"/>
  </sheetData>
  <sheetProtection algorithmName="SHA-512" hashValue="qQ5/mTwvl0+cHYUIF7FPTMMaEpWFmMeMRGSv34xwwGqFYMiPMhPhEHHfTaoOwGriD1z3Cd2k+Pb6uBfGv3/Lwg==" saltValue="vbL9ofkP9MvmOAEFrjQQfg==" spinCount="100000" sheet="1" objects="1" scenarios="1"/>
  <mergeCells count="53">
    <mergeCell ref="J55:N55"/>
    <mergeCell ref="V55:Z55"/>
    <mergeCell ref="J13:AG13"/>
    <mergeCell ref="D13:H13"/>
    <mergeCell ref="K42:P43"/>
    <mergeCell ref="Q42:U43"/>
    <mergeCell ref="E65:J66"/>
    <mergeCell ref="K65:O66"/>
    <mergeCell ref="T65:Y66"/>
    <mergeCell ref="Z65:AD66"/>
    <mergeCell ref="L60:P60"/>
    <mergeCell ref="AC60:AG60"/>
    <mergeCell ref="L61:P61"/>
    <mergeCell ref="AC61:AG61"/>
    <mergeCell ref="L62:P62"/>
    <mergeCell ref="AC62:AG62"/>
    <mergeCell ref="AC63:AD63"/>
    <mergeCell ref="V58:Z58"/>
    <mergeCell ref="J58:N58"/>
    <mergeCell ref="J34:N34"/>
    <mergeCell ref="L39:P39"/>
    <mergeCell ref="AC39:AG39"/>
    <mergeCell ref="L37:P37"/>
    <mergeCell ref="V34:Z34"/>
    <mergeCell ref="J35:N35"/>
    <mergeCell ref="V35:Z35"/>
    <mergeCell ref="AC37:AG37"/>
    <mergeCell ref="L38:P38"/>
    <mergeCell ref="AC38:AG38"/>
    <mergeCell ref="J57:N57"/>
    <mergeCell ref="V57:Z57"/>
    <mergeCell ref="AC40:AD40"/>
    <mergeCell ref="E42:J43"/>
    <mergeCell ref="AD9:AG9"/>
    <mergeCell ref="J12:AG12"/>
    <mergeCell ref="J14:AG14"/>
    <mergeCell ref="J32:N32"/>
    <mergeCell ref="J9:O9"/>
    <mergeCell ref="J20:R20"/>
    <mergeCell ref="J15:R15"/>
    <mergeCell ref="V32:Z32"/>
    <mergeCell ref="J16:R16"/>
    <mergeCell ref="J17:R17"/>
    <mergeCell ref="J18:R18"/>
    <mergeCell ref="J19:R19"/>
    <mergeCell ref="R4:AG4"/>
    <mergeCell ref="J4:Q4"/>
    <mergeCell ref="AD8:AG8"/>
    <mergeCell ref="J5:AG5"/>
    <mergeCell ref="J6:AG6"/>
    <mergeCell ref="J7:N7"/>
    <mergeCell ref="R7:AG7"/>
    <mergeCell ref="J8:O8"/>
  </mergeCells>
  <dataValidations count="1">
    <dataValidation type="whole" operator="greaterThanOrEqual" allowBlank="1" showInputMessage="1" showErrorMessage="1" errorTitle="Atenção!" error="Inserir apenas caracteres numéricos" sqref="J7:N7 J16" xr:uid="{00000000-0002-0000-0A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C27:AC28 C29:T29 V29:AB29 J34:N35 V34:Z34 C50:AG63 W35:Z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1000000}">
          <x14:formula1>
            <xm:f>Referências!$C$1:$C$9</xm:f>
          </x14:formula1>
          <xm:sqref>J9:O9</xm:sqref>
        </x14:dataValidation>
        <x14:dataValidation type="list" operator="greaterThanOrEqual" allowBlank="1" showInputMessage="1" showErrorMessage="1" errorTitle="Atenção!" error="Inserir apenas caracteres numéricos" xr:uid="{00000000-0002-0000-0A00-000002000000}">
          <x14:formula1>
            <xm:f>Referências!$H$1:$H$3</xm:f>
          </x14:formula1>
          <xm:sqref>J17:R17</xm:sqref>
        </x14:dataValidation>
        <x14:dataValidation type="list" allowBlank="1" showInputMessage="1" showErrorMessage="1" xr:uid="{00000000-0002-0000-0A00-000003000000}">
          <x14:formula1>
            <xm:f>Referências!$L$1:$L$28</xm:f>
          </x14:formula1>
          <xm:sqref>J20:R20</xm:sqref>
        </x14:dataValidation>
        <x14:dataValidation type="list" allowBlank="1" showInputMessage="1" showErrorMessage="1" xr:uid="{00000000-0002-0000-0A00-000004000000}">
          <x14:formula1>
            <xm:f>Referências!$J$1:$J$14</xm:f>
          </x14:formula1>
          <xm:sqref>J19:R19</xm:sqref>
        </x14:dataValidation>
        <x14:dataValidation type="list" operator="greaterThanOrEqual" allowBlank="1" showInputMessage="1" showErrorMessage="1" errorTitle="Atenção!" error="Inserir apenas caracteres numéricos" xr:uid="{00000000-0002-0000-0A00-000005000000}">
          <x14:formula1>
            <xm:f>Referências!F1:F22</xm:f>
          </x14:formula1>
          <xm:sqref>J18:R18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3"/>
  <dimension ref="B2:O50"/>
  <sheetViews>
    <sheetView zoomScale="145" zoomScaleNormal="145" workbookViewId="0">
      <selection activeCell="E14" sqref="E14"/>
    </sheetView>
  </sheetViews>
  <sheetFormatPr defaultColWidth="9.140625" defaultRowHeight="15" customHeight="1" x14ac:dyDescent="0.25"/>
  <cols>
    <col min="1" max="1" width="3.7109375" style="52" customWidth="1"/>
    <col min="2" max="2" width="38.85546875" style="52" bestFit="1" customWidth="1"/>
    <col min="3" max="3" width="16.42578125" style="52" customWidth="1"/>
    <col min="4" max="4" width="17.7109375" style="52" bestFit="1" customWidth="1"/>
    <col min="5" max="5" width="17.28515625" style="52" customWidth="1"/>
    <col min="6" max="6" width="16.7109375" style="52" customWidth="1"/>
    <col min="7" max="7" width="10.7109375" style="52" customWidth="1"/>
    <col min="8" max="8" width="12.85546875" style="52" bestFit="1" customWidth="1"/>
    <col min="9" max="9" width="18.85546875" style="52" bestFit="1" customWidth="1"/>
    <col min="10" max="10" width="10.7109375" style="52" customWidth="1"/>
    <col min="11" max="11" width="14.7109375" style="52" bestFit="1" customWidth="1"/>
    <col min="12" max="12" width="3.42578125" style="52" customWidth="1"/>
    <col min="13" max="16384" width="9.140625" style="52"/>
  </cols>
  <sheetData>
    <row r="2" spans="2:15" ht="15" customHeight="1" x14ac:dyDescent="0.25">
      <c r="B2" s="734" t="s">
        <v>3871</v>
      </c>
      <c r="C2" s="735"/>
      <c r="D2" s="735"/>
      <c r="E2" s="735"/>
      <c r="F2" s="735"/>
      <c r="G2" s="735"/>
      <c r="H2" s="735"/>
      <c r="I2" s="735"/>
      <c r="J2" s="735"/>
      <c r="K2" s="736"/>
      <c r="M2" s="725" t="s">
        <v>3872</v>
      </c>
      <c r="N2" s="726"/>
      <c r="O2" s="727"/>
    </row>
    <row r="3" spans="2:15" s="103" customFormat="1" ht="15" customHeight="1" x14ac:dyDescent="0.25">
      <c r="B3" s="750" t="s">
        <v>3873</v>
      </c>
      <c r="C3" s="517" t="s">
        <v>3874</v>
      </c>
      <c r="D3" s="517" t="s">
        <v>3875</v>
      </c>
      <c r="E3" s="517" t="s">
        <v>3876</v>
      </c>
      <c r="F3" s="517" t="s">
        <v>3877</v>
      </c>
      <c r="G3" s="517" t="s">
        <v>3878</v>
      </c>
      <c r="H3" s="737" t="s">
        <v>3879</v>
      </c>
      <c r="I3" s="517" t="s">
        <v>3880</v>
      </c>
      <c r="J3" s="517" t="s">
        <v>3881</v>
      </c>
      <c r="K3" s="737" t="s">
        <v>3882</v>
      </c>
      <c r="M3" s="728"/>
      <c r="N3" s="729"/>
      <c r="O3" s="730"/>
    </row>
    <row r="4" spans="2:15" s="103" customFormat="1" ht="15" customHeight="1" x14ac:dyDescent="0.25">
      <c r="B4" s="751"/>
      <c r="C4" s="518" t="s">
        <v>3883</v>
      </c>
      <c r="D4" s="518" t="s">
        <v>3884</v>
      </c>
      <c r="E4" s="518" t="s">
        <v>3885</v>
      </c>
      <c r="F4" s="518" t="s">
        <v>3886</v>
      </c>
      <c r="G4" s="518" t="s">
        <v>3887</v>
      </c>
      <c r="H4" s="738"/>
      <c r="I4" s="518" t="s">
        <v>3885</v>
      </c>
      <c r="J4" s="518" t="s">
        <v>3887</v>
      </c>
      <c r="K4" s="738"/>
      <c r="M4" s="728"/>
      <c r="N4" s="729"/>
      <c r="O4" s="730"/>
    </row>
    <row r="5" spans="2:15" s="103" customFormat="1" ht="15" customHeight="1" x14ac:dyDescent="0.25">
      <c r="B5" s="751"/>
      <c r="C5" s="104" t="s">
        <v>3888</v>
      </c>
      <c r="D5" s="104" t="s">
        <v>3889</v>
      </c>
      <c r="E5" s="104" t="s">
        <v>3890</v>
      </c>
      <c r="F5" s="104" t="s">
        <v>3890</v>
      </c>
      <c r="G5" s="104" t="s">
        <v>3891</v>
      </c>
      <c r="H5" s="738"/>
      <c r="I5" s="104" t="s">
        <v>3890</v>
      </c>
      <c r="J5" s="104" t="s">
        <v>3891</v>
      </c>
      <c r="K5" s="738"/>
      <c r="M5" s="728"/>
      <c r="N5" s="729"/>
      <c r="O5" s="730"/>
    </row>
    <row r="6" spans="2:15" s="103" customFormat="1" ht="15" customHeight="1" x14ac:dyDescent="0.25">
      <c r="B6" s="752"/>
      <c r="C6" s="519" t="s">
        <v>3854</v>
      </c>
      <c r="D6" s="519" t="s">
        <v>3857</v>
      </c>
      <c r="E6" s="519" t="s">
        <v>3892</v>
      </c>
      <c r="F6" s="519"/>
      <c r="G6" s="519" t="s">
        <v>3892</v>
      </c>
      <c r="H6" s="739"/>
      <c r="I6" s="519" t="s">
        <v>3893</v>
      </c>
      <c r="J6" s="519" t="s">
        <v>3893</v>
      </c>
      <c r="K6" s="739"/>
      <c r="M6" s="728"/>
      <c r="N6" s="729"/>
      <c r="O6" s="730"/>
    </row>
    <row r="7" spans="2:15" ht="15" customHeight="1" x14ac:dyDescent="0.25">
      <c r="B7" s="105" t="s">
        <v>21</v>
      </c>
      <c r="C7" s="106">
        <f>IlumBenef!G44</f>
        <v>0</v>
      </c>
      <c r="D7" s="106">
        <f>IlumBenef!G42</f>
        <v>0</v>
      </c>
      <c r="E7" s="107">
        <f>IlumCusto!X27</f>
        <v>0</v>
      </c>
      <c r="F7" s="107">
        <f>IlumBenef!G46</f>
        <v>0</v>
      </c>
      <c r="G7" s="108">
        <f t="shared" ref="G7:G13" si="0">IF(F7=0,0,E7/F7)</f>
        <v>0</v>
      </c>
      <c r="H7" s="747">
        <f>$G$15</f>
        <v>0</v>
      </c>
      <c r="I7" s="107">
        <f>IlumCusto!Y27</f>
        <v>0</v>
      </c>
      <c r="J7" s="108">
        <f t="shared" ref="J7:J14" si="1">IF(F7=0,0,I7/F7)</f>
        <v>0</v>
      </c>
      <c r="K7" s="747">
        <f>$J$15</f>
        <v>0</v>
      </c>
      <c r="M7" s="728"/>
      <c r="N7" s="729"/>
      <c r="O7" s="730"/>
    </row>
    <row r="8" spans="2:15" ht="15" customHeight="1" x14ac:dyDescent="0.25">
      <c r="B8" s="105" t="s">
        <v>31</v>
      </c>
      <c r="C8" s="106">
        <f>CondAmbBenef!G48</f>
        <v>0</v>
      </c>
      <c r="D8" s="106">
        <f>CondAmbBenef!G46</f>
        <v>0</v>
      </c>
      <c r="E8" s="107">
        <f>CondAmbCusto!X27</f>
        <v>0</v>
      </c>
      <c r="F8" s="107">
        <f>CondAmbBenef!G50</f>
        <v>0</v>
      </c>
      <c r="G8" s="108">
        <f t="shared" si="0"/>
        <v>0</v>
      </c>
      <c r="H8" s="748"/>
      <c r="I8" s="107">
        <f>CondAmbCusto!Y27</f>
        <v>0</v>
      </c>
      <c r="J8" s="108">
        <f t="shared" si="1"/>
        <v>0</v>
      </c>
      <c r="K8" s="748"/>
      <c r="M8" s="728"/>
      <c r="N8" s="729"/>
      <c r="O8" s="730"/>
    </row>
    <row r="9" spans="2:15" ht="15" customHeight="1" x14ac:dyDescent="0.25">
      <c r="B9" s="105" t="s">
        <v>42</v>
      </c>
      <c r="C9" s="106">
        <f>MotorBenef!G49</f>
        <v>0</v>
      </c>
      <c r="D9" s="106">
        <f>MotorBenef!G47</f>
        <v>0</v>
      </c>
      <c r="E9" s="107">
        <f>MotorCusto!X27</f>
        <v>0</v>
      </c>
      <c r="F9" s="107">
        <f>MotorBenef!G51</f>
        <v>0</v>
      </c>
      <c r="G9" s="108">
        <f t="shared" si="0"/>
        <v>0</v>
      </c>
      <c r="H9" s="748"/>
      <c r="I9" s="107">
        <f>MotorCusto!Y27</f>
        <v>0</v>
      </c>
      <c r="J9" s="108">
        <f t="shared" si="1"/>
        <v>0</v>
      </c>
      <c r="K9" s="748"/>
      <c r="M9" s="728"/>
      <c r="N9" s="729"/>
      <c r="O9" s="730"/>
    </row>
    <row r="10" spans="2:15" ht="15" customHeight="1" x14ac:dyDescent="0.25">
      <c r="B10" s="105" t="s">
        <v>52</v>
      </c>
      <c r="C10" s="106">
        <f>RefrigBenef!G44</f>
        <v>0</v>
      </c>
      <c r="D10" s="106">
        <f>RefrigBenef!G42</f>
        <v>0</v>
      </c>
      <c r="E10" s="107">
        <f>RefrigCusto!X27</f>
        <v>0</v>
      </c>
      <c r="F10" s="107">
        <f>RefrigBenef!G46</f>
        <v>0</v>
      </c>
      <c r="G10" s="108">
        <f t="shared" si="0"/>
        <v>0</v>
      </c>
      <c r="H10" s="748"/>
      <c r="I10" s="107">
        <f>RefrigCusto!Y27</f>
        <v>0</v>
      </c>
      <c r="J10" s="108">
        <f t="shared" si="1"/>
        <v>0</v>
      </c>
      <c r="K10" s="748"/>
      <c r="M10" s="728"/>
      <c r="N10" s="729"/>
      <c r="O10" s="730"/>
    </row>
    <row r="11" spans="2:15" ht="15" customHeight="1" x14ac:dyDescent="0.25">
      <c r="B11" s="105" t="s">
        <v>61</v>
      </c>
      <c r="C11" s="106">
        <f>SolarBenef!G24</f>
        <v>0</v>
      </c>
      <c r="D11" s="106">
        <f>SolarBenef!G22</f>
        <v>0</v>
      </c>
      <c r="E11" s="107">
        <f>SolarCusto!X27</f>
        <v>0</v>
      </c>
      <c r="F11" s="107">
        <f>SolarBenef!G26</f>
        <v>0</v>
      </c>
      <c r="G11" s="108">
        <f t="shared" si="0"/>
        <v>0</v>
      </c>
      <c r="H11" s="748"/>
      <c r="I11" s="107">
        <f>SolarCusto!Y27</f>
        <v>0</v>
      </c>
      <c r="J11" s="108">
        <f t="shared" si="1"/>
        <v>0</v>
      </c>
      <c r="K11" s="748"/>
      <c r="M11" s="728"/>
      <c r="N11" s="729"/>
      <c r="O11" s="730"/>
    </row>
    <row r="12" spans="2:15" ht="15" customHeight="1" x14ac:dyDescent="0.25">
      <c r="B12" s="105" t="s">
        <v>3894</v>
      </c>
      <c r="C12" s="106">
        <f>'FI-FVBenef'!G20</f>
        <v>0</v>
      </c>
      <c r="D12" s="106">
        <v>0</v>
      </c>
      <c r="E12" s="107">
        <f>'FI-FVCusto'!X27</f>
        <v>0</v>
      </c>
      <c r="F12" s="107">
        <f>'FI-FVBenef'!G22</f>
        <v>0</v>
      </c>
      <c r="G12" s="108">
        <f t="shared" si="0"/>
        <v>0</v>
      </c>
      <c r="H12" s="748"/>
      <c r="I12" s="107">
        <f>'FI-FVCusto'!Y27</f>
        <v>0</v>
      </c>
      <c r="J12" s="108">
        <f t="shared" si="1"/>
        <v>0</v>
      </c>
      <c r="K12" s="748"/>
      <c r="M12" s="728"/>
      <c r="N12" s="729"/>
      <c r="O12" s="730"/>
    </row>
    <row r="13" spans="2:15" ht="15" customHeight="1" x14ac:dyDescent="0.25">
      <c r="B13" s="105" t="s">
        <v>71</v>
      </c>
      <c r="C13" s="106">
        <f>OutrosBenef!G46</f>
        <v>0</v>
      </c>
      <c r="D13" s="106">
        <f>OutrosBenef!G44</f>
        <v>0</v>
      </c>
      <c r="E13" s="107">
        <f>OutrosCusto!X27</f>
        <v>0</v>
      </c>
      <c r="F13" s="107">
        <f>OutrosBenef!G48</f>
        <v>0</v>
      </c>
      <c r="G13" s="108">
        <f t="shared" si="0"/>
        <v>0</v>
      </c>
      <c r="H13" s="748"/>
      <c r="I13" s="107">
        <f>OutrosCusto!Y27</f>
        <v>0</v>
      </c>
      <c r="J13" s="108">
        <f t="shared" si="1"/>
        <v>0</v>
      </c>
      <c r="K13" s="748"/>
      <c r="M13" s="728"/>
      <c r="N13" s="729"/>
      <c r="O13" s="730"/>
    </row>
    <row r="14" spans="2:15" ht="15" customHeight="1" x14ac:dyDescent="0.25">
      <c r="B14" s="105" t="s">
        <v>5133</v>
      </c>
      <c r="C14" s="106">
        <f>BESSBenef!G27</f>
        <v>0</v>
      </c>
      <c r="D14" s="106">
        <f>BESSBenef!G26</f>
        <v>0</v>
      </c>
      <c r="E14" s="107">
        <f>BessCusto!X27</f>
        <v>0</v>
      </c>
      <c r="F14" s="107">
        <f>BESSBenef!H28</f>
        <v>0</v>
      </c>
      <c r="G14" s="108">
        <f>IF(F14=0,0,E14/F14)</f>
        <v>0</v>
      </c>
      <c r="H14" s="748"/>
      <c r="I14" s="107">
        <f>BessCusto!Y27</f>
        <v>0</v>
      </c>
      <c r="J14" s="108">
        <f t="shared" si="1"/>
        <v>0</v>
      </c>
      <c r="K14" s="748"/>
      <c r="M14" s="728"/>
      <c r="N14" s="729"/>
      <c r="O14" s="730"/>
    </row>
    <row r="15" spans="2:15" ht="15" customHeight="1" x14ac:dyDescent="0.25">
      <c r="B15" s="109" t="s">
        <v>3794</v>
      </c>
      <c r="C15" s="110">
        <f>SUM(C7:C14)</f>
        <v>0</v>
      </c>
      <c r="D15" s="110">
        <f>SUM(D7:D14)</f>
        <v>0</v>
      </c>
      <c r="E15" s="410">
        <f>SUM(E7:E14)</f>
        <v>0</v>
      </c>
      <c r="F15" s="410">
        <f>SUM(F7:F14)</f>
        <v>0</v>
      </c>
      <c r="G15" s="112">
        <f>IF(F15=0,0,E15/F15)</f>
        <v>0</v>
      </c>
      <c r="H15" s="749"/>
      <c r="I15" s="111">
        <f>SUM(I7:I14)</f>
        <v>0</v>
      </c>
      <c r="J15" s="112">
        <f>IF(F15=0,0,I15/F15)</f>
        <v>0</v>
      </c>
      <c r="K15" s="749"/>
      <c r="M15" s="731"/>
      <c r="N15" s="732"/>
      <c r="O15" s="733"/>
    </row>
    <row r="16" spans="2:15" hidden="1" x14ac:dyDescent="0.25"/>
    <row r="17" spans="2:11" hidden="1" x14ac:dyDescent="0.25">
      <c r="B17" s="740" t="s">
        <v>3895</v>
      </c>
      <c r="C17" s="741"/>
      <c r="D17" s="746" t="str">
        <f>IF(H7=0,"-",IF(OR(RCB!H7&lt;0,SMALL(G7:G13,1)&lt;0),"AO MENOS UM RCB NEGATIVO, OS CÁLCULOS DEVEM SER REVISADOS",IF(RCB!H7&gt;CPFL!$X$8,"RCB NÃO PERMITIDO",IF(AND(RCB!H7&lt;=CPFL!$X$8,LARGE(G7:G13,1)&gt;CPFL!$X$8),"RCB PERMITIDO, MAS AO MENOS UM USO FINAL POSSUI RCB ACIMA DO PERMITIDO","RCB PERMITIDO"))))</f>
        <v>-</v>
      </c>
      <c r="E17" s="746"/>
    </row>
    <row r="18" spans="2:11" hidden="1" x14ac:dyDescent="0.25">
      <c r="B18" s="742"/>
      <c r="C18" s="743"/>
      <c r="D18" s="746"/>
      <c r="E18" s="746"/>
    </row>
    <row r="19" spans="2:11" hidden="1" x14ac:dyDescent="0.25">
      <c r="B19" s="744"/>
      <c r="C19" s="745"/>
      <c r="D19" s="746"/>
      <c r="E19" s="746"/>
    </row>
    <row r="20" spans="2:11" hidden="1" x14ac:dyDescent="0.25">
      <c r="B20" s="354"/>
      <c r="C20" s="354"/>
      <c r="D20" s="354"/>
      <c r="E20" s="354"/>
    </row>
    <row r="21" spans="2:11" hidden="1" x14ac:dyDescent="0.25">
      <c r="B21" s="740" t="s">
        <v>3895</v>
      </c>
      <c r="C21" s="741"/>
      <c r="D21" s="746" t="str">
        <f>IF(H7=0,"-", OR(CPFL!U17=0,RCB!D17,"RCB PERMITIDO"))</f>
        <v>-</v>
      </c>
      <c r="E21" s="746"/>
    </row>
    <row r="22" spans="2:11" hidden="1" x14ac:dyDescent="0.25">
      <c r="B22" s="742"/>
      <c r="C22" s="743"/>
      <c r="D22" s="746"/>
      <c r="E22" s="746"/>
    </row>
    <row r="23" spans="2:11" hidden="1" x14ac:dyDescent="0.25">
      <c r="B23" s="744"/>
      <c r="C23" s="745"/>
      <c r="D23" s="746"/>
      <c r="E23" s="746"/>
    </row>
    <row r="24" spans="2:11" ht="15" customHeight="1" x14ac:dyDescent="0.25">
      <c r="B24" s="354"/>
      <c r="C24" s="354"/>
      <c r="D24" s="354"/>
      <c r="E24" s="354"/>
    </row>
    <row r="25" spans="2:11" ht="15" hidden="1" customHeight="1" x14ac:dyDescent="0.25">
      <c r="B25" s="772" t="s">
        <v>3896</v>
      </c>
      <c r="C25" s="773"/>
      <c r="D25" s="773"/>
      <c r="E25" s="773"/>
      <c r="F25" s="773"/>
      <c r="G25" s="773"/>
      <c r="H25" s="773"/>
      <c r="I25" s="773"/>
      <c r="J25" s="773"/>
      <c r="K25" s="774"/>
    </row>
    <row r="26" spans="2:11" s="103" customFormat="1" ht="15" hidden="1" customHeight="1" x14ac:dyDescent="0.25">
      <c r="B26" s="766" t="s">
        <v>3873</v>
      </c>
      <c r="C26" s="521" t="s">
        <v>3874</v>
      </c>
      <c r="D26" s="521" t="s">
        <v>3875</v>
      </c>
      <c r="E26" s="521" t="s">
        <v>3876</v>
      </c>
      <c r="F26" s="521" t="s">
        <v>3877</v>
      </c>
      <c r="G26" s="521" t="s">
        <v>3878</v>
      </c>
      <c r="H26" s="769" t="s">
        <v>3897</v>
      </c>
      <c r="I26" s="521" t="s">
        <v>3880</v>
      </c>
      <c r="J26" s="521" t="s">
        <v>3881</v>
      </c>
      <c r="K26" s="769" t="s">
        <v>3898</v>
      </c>
    </row>
    <row r="27" spans="2:11" s="103" customFormat="1" ht="15" hidden="1" customHeight="1" x14ac:dyDescent="0.25">
      <c r="B27" s="767"/>
      <c r="C27" s="522" t="s">
        <v>3883</v>
      </c>
      <c r="D27" s="522" t="s">
        <v>3884</v>
      </c>
      <c r="E27" s="522" t="s">
        <v>3885</v>
      </c>
      <c r="F27" s="522" t="s">
        <v>3886</v>
      </c>
      <c r="G27" s="522" t="s">
        <v>3887</v>
      </c>
      <c r="H27" s="770"/>
      <c r="I27" s="522" t="s">
        <v>3885</v>
      </c>
      <c r="J27" s="522" t="s">
        <v>3887</v>
      </c>
      <c r="K27" s="770"/>
    </row>
    <row r="28" spans="2:11" s="103" customFormat="1" ht="15" hidden="1" customHeight="1" x14ac:dyDescent="0.25">
      <c r="B28" s="767"/>
      <c r="C28" s="113" t="s">
        <v>3888</v>
      </c>
      <c r="D28" s="113" t="s">
        <v>3889</v>
      </c>
      <c r="E28" s="113" t="s">
        <v>3890</v>
      </c>
      <c r="F28" s="113" t="s">
        <v>3890</v>
      </c>
      <c r="G28" s="113" t="s">
        <v>3891</v>
      </c>
      <c r="H28" s="770"/>
      <c r="I28" s="113" t="s">
        <v>3890</v>
      </c>
      <c r="J28" s="113" t="s">
        <v>3891</v>
      </c>
      <c r="K28" s="770"/>
    </row>
    <row r="29" spans="2:11" s="103" customFormat="1" ht="15" hidden="1" customHeight="1" x14ac:dyDescent="0.25">
      <c r="B29" s="768"/>
      <c r="C29" s="523" t="s">
        <v>3854</v>
      </c>
      <c r="D29" s="523" t="s">
        <v>3857</v>
      </c>
      <c r="E29" s="523" t="s">
        <v>3892</v>
      </c>
      <c r="F29" s="523"/>
      <c r="G29" s="523" t="s">
        <v>3892</v>
      </c>
      <c r="H29" s="771"/>
      <c r="I29" s="523" t="s">
        <v>3893</v>
      </c>
      <c r="J29" s="523" t="s">
        <v>3893</v>
      </c>
      <c r="K29" s="771"/>
    </row>
    <row r="30" spans="2:11" ht="15" hidden="1" customHeight="1" x14ac:dyDescent="0.25">
      <c r="B30" s="114" t="s">
        <v>21</v>
      </c>
      <c r="C30" s="115">
        <f>IlumBenef!G89</f>
        <v>0</v>
      </c>
      <c r="D30" s="115">
        <f>IlumBenef!G87</f>
        <v>0</v>
      </c>
      <c r="E30" s="116" t="e">
        <f>IlumCusto!X112</f>
        <v>#REF!</v>
      </c>
      <c r="F30" s="116">
        <f>IlumBenef!G91</f>
        <v>0</v>
      </c>
      <c r="G30" s="117">
        <f t="shared" ref="G30:G37" si="2">IF(F30=0,0,E30/F30)</f>
        <v>0</v>
      </c>
      <c r="H30" s="763">
        <f>$G$37</f>
        <v>0</v>
      </c>
      <c r="I30" s="116" t="e">
        <f>IlumCusto!Y112</f>
        <v>#REF!</v>
      </c>
      <c r="J30" s="117">
        <f>IF(F30=0,0,I30/F30)</f>
        <v>0</v>
      </c>
      <c r="K30" s="763">
        <f>$J$37</f>
        <v>0</v>
      </c>
    </row>
    <row r="31" spans="2:11" ht="15" hidden="1" customHeight="1" x14ac:dyDescent="0.25">
      <c r="B31" s="114" t="s">
        <v>31</v>
      </c>
      <c r="C31" s="115">
        <f>CondAmbBenef!G99</f>
        <v>0</v>
      </c>
      <c r="D31" s="115">
        <f>CondAmbBenef!G97</f>
        <v>0</v>
      </c>
      <c r="E31" s="116" t="e">
        <f>CondAmbCusto!X82</f>
        <v>#REF!</v>
      </c>
      <c r="F31" s="116">
        <f>CondAmbBenef!G101</f>
        <v>0</v>
      </c>
      <c r="G31" s="117">
        <f t="shared" si="2"/>
        <v>0</v>
      </c>
      <c r="H31" s="764"/>
      <c r="I31" s="116" t="e">
        <f>CondAmbCusto!Y82</f>
        <v>#REF!</v>
      </c>
      <c r="J31" s="117">
        <f t="shared" ref="J31:J37" si="3">IF(F31=0,0,I31/F31)</f>
        <v>0</v>
      </c>
      <c r="K31" s="764"/>
    </row>
    <row r="32" spans="2:11" ht="15" hidden="1" customHeight="1" x14ac:dyDescent="0.25">
      <c r="B32" s="114" t="s">
        <v>42</v>
      </c>
      <c r="C32" s="115">
        <f>MotorBenef!G100</f>
        <v>0</v>
      </c>
      <c r="D32" s="115">
        <f>MotorBenef!G98</f>
        <v>0</v>
      </c>
      <c r="E32" s="116" t="e">
        <f>MotorCusto!X112</f>
        <v>#REF!</v>
      </c>
      <c r="F32" s="116">
        <f>MotorBenef!G102</f>
        <v>0</v>
      </c>
      <c r="G32" s="117">
        <f t="shared" si="2"/>
        <v>0</v>
      </c>
      <c r="H32" s="764"/>
      <c r="I32" s="116" t="e">
        <f>MotorCusto!Y112</f>
        <v>#REF!</v>
      </c>
      <c r="J32" s="117">
        <f t="shared" si="3"/>
        <v>0</v>
      </c>
      <c r="K32" s="764"/>
    </row>
    <row r="33" spans="2:11" ht="15" hidden="1" customHeight="1" x14ac:dyDescent="0.25">
      <c r="B33" s="114" t="s">
        <v>52</v>
      </c>
      <c r="C33" s="115">
        <f>RefrigBenef!G95</f>
        <v>0</v>
      </c>
      <c r="D33" s="115">
        <f>RefrigBenef!G93</f>
        <v>0</v>
      </c>
      <c r="E33" s="116" t="e">
        <f>#REF!</f>
        <v>#REF!</v>
      </c>
      <c r="F33" s="116">
        <f>RefrigBenef!G97</f>
        <v>0</v>
      </c>
      <c r="G33" s="117">
        <f t="shared" si="2"/>
        <v>0</v>
      </c>
      <c r="H33" s="764"/>
      <c r="I33" s="116" t="e">
        <f>#REF!</f>
        <v>#REF!</v>
      </c>
      <c r="J33" s="117">
        <f t="shared" si="3"/>
        <v>0</v>
      </c>
      <c r="K33" s="764"/>
    </row>
    <row r="34" spans="2:11" ht="15" hidden="1" customHeight="1" x14ac:dyDescent="0.25">
      <c r="B34" s="114" t="s">
        <v>61</v>
      </c>
      <c r="C34" s="115">
        <f>SolarBenef!G55</f>
        <v>0</v>
      </c>
      <c r="D34" s="115">
        <f>SolarBenef!G53</f>
        <v>0</v>
      </c>
      <c r="E34" s="116" t="e">
        <f>SolarCusto!X82</f>
        <v>#REF!</v>
      </c>
      <c r="F34" s="116">
        <f>SolarBenef!G57</f>
        <v>0</v>
      </c>
      <c r="G34" s="117">
        <f t="shared" si="2"/>
        <v>0</v>
      </c>
      <c r="H34" s="764"/>
      <c r="I34" s="116" t="e">
        <f>SolarCusto!Y82</f>
        <v>#REF!</v>
      </c>
      <c r="J34" s="117">
        <f t="shared" si="3"/>
        <v>0</v>
      </c>
      <c r="K34" s="764"/>
    </row>
    <row r="35" spans="2:11" ht="15" hidden="1" customHeight="1" x14ac:dyDescent="0.25">
      <c r="B35" s="114" t="s">
        <v>3894</v>
      </c>
      <c r="C35" s="115">
        <f>'FI-FVBenef'!G45</f>
        <v>0</v>
      </c>
      <c r="D35" s="115">
        <v>0</v>
      </c>
      <c r="E35" s="116" t="e">
        <f>'FI-FVCusto'!X82</f>
        <v>#REF!</v>
      </c>
      <c r="F35" s="116">
        <f>'FI-FVBenef'!G47</f>
        <v>0</v>
      </c>
      <c r="G35" s="117">
        <f t="shared" si="2"/>
        <v>0</v>
      </c>
      <c r="H35" s="764"/>
      <c r="I35" s="116" t="e">
        <f>'FI-FVCusto'!Y82</f>
        <v>#REF!</v>
      </c>
      <c r="J35" s="117">
        <f t="shared" si="3"/>
        <v>0</v>
      </c>
      <c r="K35" s="764"/>
    </row>
    <row r="36" spans="2:11" ht="15" hidden="1" customHeight="1" x14ac:dyDescent="0.25">
      <c r="B36" s="114" t="s">
        <v>71</v>
      </c>
      <c r="C36" s="115">
        <f>OutrosBenef!G97</f>
        <v>0</v>
      </c>
      <c r="D36" s="115">
        <f>OutrosBenef!G95</f>
        <v>0</v>
      </c>
      <c r="E36" s="116" t="e">
        <f>#REF!</f>
        <v>#REF!</v>
      </c>
      <c r="F36" s="116">
        <f>OutrosBenef!G99</f>
        <v>0</v>
      </c>
      <c r="G36" s="117">
        <f t="shared" si="2"/>
        <v>0</v>
      </c>
      <c r="H36" s="764"/>
      <c r="I36" s="116" t="e">
        <f>#REF!</f>
        <v>#REF!</v>
      </c>
      <c r="J36" s="117">
        <f t="shared" si="3"/>
        <v>0</v>
      </c>
      <c r="K36" s="764"/>
    </row>
    <row r="37" spans="2:11" ht="15" hidden="1" customHeight="1" x14ac:dyDescent="0.25">
      <c r="B37" s="118" t="s">
        <v>3794</v>
      </c>
      <c r="C37" s="119">
        <f>SUM(C30:C36)</f>
        <v>0</v>
      </c>
      <c r="D37" s="119">
        <f>SUM(D30:D36)</f>
        <v>0</v>
      </c>
      <c r="E37" s="120" t="e">
        <f>SUM(E30:E36)</f>
        <v>#REF!</v>
      </c>
      <c r="F37" s="120">
        <f>SUM(F30:F36)</f>
        <v>0</v>
      </c>
      <c r="G37" s="121">
        <f t="shared" si="2"/>
        <v>0</v>
      </c>
      <c r="H37" s="765"/>
      <c r="I37" s="120" t="e">
        <f>SUM(I30:I36)</f>
        <v>#REF!</v>
      </c>
      <c r="J37" s="121">
        <f t="shared" si="3"/>
        <v>0</v>
      </c>
      <c r="K37" s="765"/>
    </row>
    <row r="38" spans="2:11" ht="15" hidden="1" customHeight="1" x14ac:dyDescent="0.25"/>
    <row r="39" spans="2:11" ht="15" hidden="1" customHeight="1" x14ac:dyDescent="0.25">
      <c r="B39" s="756" t="s">
        <v>3895</v>
      </c>
      <c r="C39" s="757"/>
      <c r="D39" s="762" t="str">
        <f>IF(H30=0,"-",IF(OR(RCB!H30&lt;0,SMALL(G30:G36,1)&lt;0),"AO MENOS UM RCB NEGATIVO, OS CÁLCULOS DEVEM SER REVISADOS",IF(RCB!H30&gt;CPFL!$X$8,"RCB NÃO PERMITIDO",IF(AND(RCB!H30&lt;=CPFL!$X$8,LARGE(G30:G36,1)&gt;CPFL!$X$8),"RCB PERMITIDO, MAS AO MENOS UM USO FINAL POSSUI RCB ACIMA DO PERMITIDO","RCB PERMITIDO"))))</f>
        <v>-</v>
      </c>
      <c r="E39" s="762"/>
    </row>
    <row r="40" spans="2:11" ht="15" hidden="1" customHeight="1" x14ac:dyDescent="0.25">
      <c r="B40" s="758"/>
      <c r="C40" s="759"/>
      <c r="D40" s="762"/>
      <c r="E40" s="762"/>
    </row>
    <row r="41" spans="2:11" ht="15" hidden="1" customHeight="1" x14ac:dyDescent="0.25">
      <c r="B41" s="760"/>
      <c r="C41" s="761"/>
      <c r="D41" s="762"/>
      <c r="E41" s="762"/>
    </row>
    <row r="42" spans="2:11" ht="15" hidden="1" customHeight="1" x14ac:dyDescent="0.25"/>
    <row r="43" spans="2:11" ht="15" hidden="1" customHeight="1" x14ac:dyDescent="0.25">
      <c r="B43" s="89" t="s">
        <v>3899</v>
      </c>
      <c r="C43" s="90"/>
      <c r="D43" s="90"/>
      <c r="E43" s="91"/>
    </row>
    <row r="44" spans="2:11" ht="15" hidden="1" customHeight="1" x14ac:dyDescent="0.25">
      <c r="B44" s="92" t="s">
        <v>3900</v>
      </c>
      <c r="C44" s="94"/>
      <c r="D44" s="122">
        <f>IF(C37=0,0,ROUND(CustoContabil!#REF!/C37,2))</f>
        <v>0</v>
      </c>
      <c r="E44" s="123" t="s">
        <v>3844</v>
      </c>
    </row>
    <row r="45" spans="2:11" ht="15" hidden="1" customHeight="1" x14ac:dyDescent="0.25">
      <c r="B45" s="100" t="s">
        <v>3901</v>
      </c>
      <c r="C45" s="101"/>
      <c r="D45" s="124">
        <f>IF(D37=0,0,ROUND(CustoContabil!#REF!/D37,2))</f>
        <v>0</v>
      </c>
      <c r="E45" s="125" t="s">
        <v>3902</v>
      </c>
    </row>
    <row r="46" spans="2:11" ht="15" hidden="1" customHeight="1" x14ac:dyDescent="0.25"/>
    <row r="47" spans="2:11" ht="15" customHeight="1" x14ac:dyDescent="0.25">
      <c r="B47" s="753" t="s">
        <v>3903</v>
      </c>
      <c r="C47" s="754"/>
      <c r="D47" s="755"/>
      <c r="E47" s="133" t="s">
        <v>3904</v>
      </c>
    </row>
    <row r="48" spans="2:11" ht="15" customHeight="1" x14ac:dyDescent="0.25">
      <c r="B48" s="62" t="s">
        <v>3905</v>
      </c>
      <c r="C48" s="63"/>
      <c r="D48" s="63"/>
      <c r="E48" s="355">
        <v>0.7</v>
      </c>
    </row>
    <row r="49" spans="2:5" ht="15" customHeight="1" x14ac:dyDescent="0.25">
      <c r="B49" s="62" t="s">
        <v>502</v>
      </c>
      <c r="C49" s="63"/>
      <c r="D49" s="63"/>
      <c r="E49" s="355">
        <v>0.85</v>
      </c>
    </row>
    <row r="50" spans="2:5" ht="15" customHeight="1" x14ac:dyDescent="0.25">
      <c r="B50" s="65" t="s">
        <v>3906</v>
      </c>
      <c r="C50" s="67"/>
      <c r="D50" s="67"/>
      <c r="E50" s="355">
        <v>0.9</v>
      </c>
    </row>
  </sheetData>
  <sheetProtection algorithmName="SHA-512" hashValue="UP7ibitLn9kH+q9UcvH4xO1NViXMaD7asY1nwrA9Ru7QNRjENZbJ/uqn8P0clWKcwZKcCAN0zHIdQzXfKoSKLA==" saltValue="a9piDuAt9ganylsHnF1L3w==" spinCount="100000" sheet="1" objects="1" scenarios="1"/>
  <mergeCells count="20">
    <mergeCell ref="B47:D47"/>
    <mergeCell ref="B39:C41"/>
    <mergeCell ref="D39:E41"/>
    <mergeCell ref="K30:K37"/>
    <mergeCell ref="D17:E19"/>
    <mergeCell ref="H30:H37"/>
    <mergeCell ref="B26:B29"/>
    <mergeCell ref="H26:H29"/>
    <mergeCell ref="K26:K29"/>
    <mergeCell ref="B25:K25"/>
    <mergeCell ref="M2:O15"/>
    <mergeCell ref="B2:K2"/>
    <mergeCell ref="K3:K6"/>
    <mergeCell ref="B17:C19"/>
    <mergeCell ref="B21:C23"/>
    <mergeCell ref="D21:E23"/>
    <mergeCell ref="K7:K15"/>
    <mergeCell ref="H3:H6"/>
    <mergeCell ref="B3:B6"/>
    <mergeCell ref="H7:H15"/>
  </mergeCells>
  <conditionalFormatting sqref="D17 D39">
    <cfRule type="containsText" dxfId="116" priority="17" stopIfTrue="1" operator="containsText" text="RCB PERMITIDO, MAS AO MENOS UM USO FINAL POSSUI RCB ACIMA DO PERMITIDO">
      <formula>NOT(ISERROR(SEARCH("RCB PERMITIDO, MAS AO MENOS UM USO FINAL POSSUI RCB ACIMA DO PERMITIDO",D17)))</formula>
    </cfRule>
    <cfRule type="containsText" dxfId="115" priority="21" stopIfTrue="1" operator="containsText" text="RCB PERMITIDO">
      <formula>NOT(ISERROR(SEARCH("RCB PERMITIDO",D17)))</formula>
    </cfRule>
    <cfRule type="containsText" dxfId="114" priority="22" stopIfTrue="1" operator="containsText" text="RCB NÃO PERMITIDO">
      <formula>NOT(ISERROR(SEARCH("RCB NÃO PERMITIDO",D17)))</formula>
    </cfRule>
    <cfRule type="containsText" dxfId="113" priority="23" stopIfTrue="1" operator="containsText" text="AO MENOS UM RCB NEGATIVO, OS CÁLCULOS DEVEM SER REVISADOS">
      <formula>NOT(ISERROR(SEARCH("AO MENOS UM RCB NEGATIVO, OS CÁLCULOS DEVEM SER REVISADOS",D17)))</formula>
    </cfRule>
  </conditionalFormatting>
  <conditionalFormatting sqref="D21">
    <cfRule type="containsText" dxfId="112" priority="9" stopIfTrue="1" operator="containsText" text="RCB PERMITIDO, MAS AO MENOS UM USO FINAL POSSUI RCB ACIMA DO PERMITIDO">
      <formula>NOT(ISERROR(SEARCH("RCB PERMITIDO, MAS AO MENOS UM USO FINAL POSSUI RCB ACIMA DO PERMITIDO",D21)))</formula>
    </cfRule>
    <cfRule type="containsText" dxfId="111" priority="10" stopIfTrue="1" operator="containsText" text="RCB PERMITIDO">
      <formula>NOT(ISERROR(SEARCH("RCB PERMITIDO",D21)))</formula>
    </cfRule>
    <cfRule type="containsText" dxfId="110" priority="11" stopIfTrue="1" operator="containsText" text="RCB NÃO PERMITIDO">
      <formula>NOT(ISERROR(SEARCH("RCB NÃO PERMITIDO",D21)))</formula>
    </cfRule>
    <cfRule type="containsText" dxfId="109" priority="12" stopIfTrue="1" operator="containsText" text="AO MENOS UM RCB NEGATIVO, OS CÁLCULOS DEVEM SER REVISADOS">
      <formula>NOT(ISERROR(SEARCH("AO MENOS UM RCB NEGATIVO, OS CÁLCULOS DEVEM SER REVISADOS",D21)))</formula>
    </cfRule>
  </conditionalFormatting>
  <pageMargins left="0.7" right="0.7" top="0.75" bottom="0.75" header="0.3" footer="0.3"/>
  <pageSetup paperSize="9" orientation="portrait" r:id="rId1"/>
  <headerFooter>
    <oddHeader>&amp;L&amp;"Calibri"&amp;10&amp;K0000FFUso Interno CPFL&amp;1#</oddHeader>
  </headerFooter>
  <ignoredErrors>
    <ignoredError sqref="B11 D39:E45 B25:K34 B7 H15 B13 H12 B36:K37 C35 E35:K35 B15 B16:K19 E7 B8 H8 B9 H9 B10 H10 H11 H13 K15 K8 K9 K10 K11 K12 K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4"/>
  <dimension ref="B2:K32"/>
  <sheetViews>
    <sheetView zoomScale="160" zoomScaleNormal="160" workbookViewId="0">
      <selection activeCell="B5" sqref="B5:G5"/>
    </sheetView>
  </sheetViews>
  <sheetFormatPr defaultColWidth="9.140625" defaultRowHeight="15" x14ac:dyDescent="0.25"/>
  <cols>
    <col min="1" max="1" width="3.7109375" style="52" customWidth="1"/>
    <col min="2" max="2" width="34.140625" style="52" bestFit="1" customWidth="1"/>
    <col min="3" max="3" width="16.7109375" style="52" bestFit="1" customWidth="1"/>
    <col min="4" max="4" width="8.5703125" style="52" bestFit="1" customWidth="1"/>
    <col min="5" max="5" width="16.7109375" style="52" bestFit="1" customWidth="1"/>
    <col min="6" max="6" width="13.85546875" style="52" bestFit="1" customWidth="1"/>
    <col min="7" max="7" width="16.7109375" style="52" bestFit="1" customWidth="1"/>
    <col min="8" max="8" width="8.5703125" style="52" bestFit="1" customWidth="1"/>
    <col min="9" max="9" width="27.85546875" style="52" bestFit="1" customWidth="1"/>
    <col min="10" max="10" width="12.85546875" style="52" customWidth="1"/>
    <col min="11" max="11" width="8.5703125" style="52" customWidth="1"/>
    <col min="12" max="16384" width="9.140625" style="52"/>
  </cols>
  <sheetData>
    <row r="2" spans="2:11" x14ac:dyDescent="0.25">
      <c r="B2" s="779" t="s">
        <v>3907</v>
      </c>
      <c r="C2" s="779" t="s">
        <v>3908</v>
      </c>
      <c r="D2" s="779"/>
      <c r="E2" s="649" t="s">
        <v>3909</v>
      </c>
      <c r="F2" s="650"/>
      <c r="G2" s="651"/>
      <c r="I2" s="725" t="s">
        <v>3910</v>
      </c>
      <c r="J2" s="727"/>
    </row>
    <row r="3" spans="2:11" x14ac:dyDescent="0.25">
      <c r="B3" s="779"/>
      <c r="C3" s="781" t="s">
        <v>3911</v>
      </c>
      <c r="D3" s="781" t="s">
        <v>3912</v>
      </c>
      <c r="E3" s="126" t="s">
        <v>3913</v>
      </c>
      <c r="F3" s="527" t="s">
        <v>3914</v>
      </c>
      <c r="G3" s="527" t="s">
        <v>3915</v>
      </c>
      <c r="I3" s="728"/>
      <c r="J3" s="730"/>
    </row>
    <row r="4" spans="2:11" ht="30" x14ac:dyDescent="0.25">
      <c r="B4" s="779"/>
      <c r="C4" s="782"/>
      <c r="D4" s="782"/>
      <c r="E4" s="127" t="s">
        <v>3892</v>
      </c>
      <c r="F4" s="127" t="s">
        <v>3916</v>
      </c>
      <c r="G4" s="127" t="s">
        <v>3917</v>
      </c>
      <c r="I4" s="728"/>
      <c r="J4" s="730"/>
    </row>
    <row r="5" spans="2:11" x14ac:dyDescent="0.25">
      <c r="B5" s="780" t="s">
        <v>3918</v>
      </c>
      <c r="C5" s="780"/>
      <c r="D5" s="780"/>
      <c r="E5" s="780"/>
      <c r="F5" s="780"/>
      <c r="G5" s="780"/>
      <c r="I5" s="728"/>
      <c r="J5" s="730"/>
    </row>
    <row r="6" spans="2:11" x14ac:dyDescent="0.25">
      <c r="B6" s="105" t="s">
        <v>3919</v>
      </c>
      <c r="C6" s="46">
        <f>SUM(E6:G6)</f>
        <v>0</v>
      </c>
      <c r="D6" s="47">
        <f>IF($C$20=0,0,C6/$C$20)</f>
        <v>0</v>
      </c>
      <c r="E6" s="45">
        <f>IlumCusto!K27+CondAmbCusto!K27+MotorCusto!K27+RefrigCusto!K27+SolarCusto!K27+'FI-FVCusto'!K27+OutrosCusto!K27+BessCusto!K27</f>
        <v>0</v>
      </c>
      <c r="F6" s="45">
        <f>IlumCusto!L27+CondAmbCusto!L27+MotorCusto!L27+RefrigCusto!L27+SolarCusto!L27+'FI-FVCusto'!L27+OutrosCusto!L27+BessCusto!L27</f>
        <v>0</v>
      </c>
      <c r="G6" s="45">
        <f>IlumCusto!M27+CondAmbCusto!M27+MotorCusto!M27+RefrigCusto!M27+SolarCusto!M27+'FI-FVCusto'!M27+OutrosCusto!M27+BessCusto!M27</f>
        <v>0</v>
      </c>
      <c r="I6" s="728"/>
      <c r="J6" s="730"/>
    </row>
    <row r="7" spans="2:11" x14ac:dyDescent="0.25">
      <c r="B7" s="105" t="s">
        <v>12</v>
      </c>
      <c r="C7" s="46">
        <f>SUM(E7:G7)</f>
        <v>0</v>
      </c>
      <c r="D7" s="47">
        <f>IF($C$20=0,0,C7/$C$20)</f>
        <v>0</v>
      </c>
      <c r="E7" s="45">
        <f>5%*SUM(E6,E8,E15,E18)</f>
        <v>0</v>
      </c>
      <c r="F7" s="45">
        <v>0</v>
      </c>
      <c r="G7" s="45">
        <v>0</v>
      </c>
      <c r="I7" s="728"/>
      <c r="J7" s="730"/>
    </row>
    <row r="8" spans="2:11" x14ac:dyDescent="0.25">
      <c r="B8" s="105" t="s">
        <v>3920</v>
      </c>
      <c r="C8" s="46">
        <f>SUM(E8:G8)</f>
        <v>0</v>
      </c>
      <c r="D8" s="47">
        <f>IF($C$20=0,0,C8/$C$20)</f>
        <v>0</v>
      </c>
      <c r="E8" s="45">
        <f>IlumCusto!K38+CondAmbCusto!K38+MotorCusto!K38+RefrigCusto!K38+SolarCusto!K38+'FI-FVCusto'!K38+OutrosCusto!K38+BessCusto!K38</f>
        <v>0</v>
      </c>
      <c r="F8" s="45">
        <f>IlumCusto!L38+CondAmbCusto!L38+MotorCusto!L38+RefrigCusto!L38+SolarCusto!L38+'FI-FVCusto'!L38+OutrosCusto!L38+BessCusto!L38</f>
        <v>0</v>
      </c>
      <c r="G8" s="45">
        <f>IlumCusto!M38+CondAmbCusto!M38+MotorCusto!M38+RefrigCusto!M38+SolarCusto!M38+'FI-FVCusto'!M38+OutrosCusto!M38+BessCusto!M38</f>
        <v>0</v>
      </c>
      <c r="I8" s="728"/>
      <c r="J8" s="730"/>
    </row>
    <row r="9" spans="2:11" x14ac:dyDescent="0.25">
      <c r="B9" s="105" t="s">
        <v>14</v>
      </c>
      <c r="C9" s="46">
        <f>SUM(E9:G9)</f>
        <v>0</v>
      </c>
      <c r="D9" s="47">
        <f>IF($C$20=0,0,C9/$C$20)</f>
        <v>0</v>
      </c>
      <c r="E9" s="45">
        <f>0.5%*(SUM(E6,E8,E15,E18))</f>
        <v>0</v>
      </c>
      <c r="F9" s="45">
        <v>0</v>
      </c>
      <c r="G9" s="45">
        <v>0</v>
      </c>
      <c r="I9" s="731"/>
      <c r="J9" s="733"/>
    </row>
    <row r="10" spans="2:11" x14ac:dyDescent="0.25">
      <c r="B10" s="109" t="s">
        <v>3921</v>
      </c>
      <c r="C10" s="111">
        <f>SUM(C6:C9)</f>
        <v>0</v>
      </c>
      <c r="D10" s="47">
        <f>SUM(D6:D9)</f>
        <v>0</v>
      </c>
      <c r="E10" s="129">
        <f>SUM(E6:E9)</f>
        <v>0</v>
      </c>
      <c r="F10" s="129">
        <f>SUM(F6:F9)</f>
        <v>0</v>
      </c>
      <c r="G10" s="129">
        <f>SUM(G6:G9)</f>
        <v>0</v>
      </c>
    </row>
    <row r="11" spans="2:11" x14ac:dyDescent="0.25">
      <c r="B11" s="780" t="s">
        <v>3922</v>
      </c>
      <c r="C11" s="780"/>
      <c r="D11" s="780"/>
      <c r="E11" s="780"/>
      <c r="F11" s="780"/>
      <c r="G11" s="780"/>
      <c r="I11" s="577" t="s">
        <v>5085</v>
      </c>
      <c r="J11" s="577" t="s">
        <v>5086</v>
      </c>
      <c r="K11" s="577" t="s">
        <v>5087</v>
      </c>
    </row>
    <row r="12" spans="2:11" x14ac:dyDescent="0.25">
      <c r="B12" s="105" t="s">
        <v>3923</v>
      </c>
      <c r="C12" s="46">
        <f t="shared" ref="C12:C18" si="0">SUM(E12:G12)</f>
        <v>0</v>
      </c>
      <c r="D12" s="47">
        <f t="shared" ref="D12:D18" si="1">IF($C$20=0,0,C12/$C$20)</f>
        <v>0</v>
      </c>
      <c r="E12" s="45">
        <f>4%*(SUM(E6,E8,E15,E18))</f>
        <v>0</v>
      </c>
      <c r="F12" s="45">
        <v>0</v>
      </c>
      <c r="G12" s="45">
        <v>0</v>
      </c>
      <c r="I12" s="59" t="s">
        <v>3925</v>
      </c>
      <c r="J12" s="347">
        <v>0.03</v>
      </c>
      <c r="K12" s="134">
        <f>IF((SUM(E6,E8,E15,E18))=0,0,SUM(E14)/SUM(E6,E8,E15,E18))</f>
        <v>0</v>
      </c>
    </row>
    <row r="13" spans="2:11" x14ac:dyDescent="0.25">
      <c r="B13" s="105" t="s">
        <v>3924</v>
      </c>
      <c r="C13" s="46">
        <f t="shared" si="0"/>
        <v>0</v>
      </c>
      <c r="D13" s="47">
        <f t="shared" si="1"/>
        <v>0</v>
      </c>
      <c r="E13" s="45">
        <f>1%*(SUM(E6,E8,E15,E18))</f>
        <v>0</v>
      </c>
      <c r="F13" s="45">
        <v>0</v>
      </c>
      <c r="G13" s="45">
        <v>0</v>
      </c>
      <c r="I13" s="62" t="s">
        <v>3927</v>
      </c>
      <c r="J13" s="347">
        <v>3.5000000000000003E-2</v>
      </c>
      <c r="K13" s="134">
        <f>IF((SUM(E6,E8,E15,E18))=0,0,SUM(E16)/SUM(E6,E8,E15,E18))</f>
        <v>0</v>
      </c>
    </row>
    <row r="14" spans="2:11" x14ac:dyDescent="0.25">
      <c r="B14" s="105" t="s">
        <v>3925</v>
      </c>
      <c r="C14" s="46">
        <f>SUM(E14:G14)</f>
        <v>0</v>
      </c>
      <c r="D14" s="47">
        <f t="shared" si="1"/>
        <v>0</v>
      </c>
      <c r="E14" s="45">
        <f>IlumCusto!K46+CondAmbCusto!K46+MotorCusto!K46+RefrigCusto!K46+SolarCusto!K46+'FI-FVCusto'!K46+OutrosCusto!K46+BessCusto!K47</f>
        <v>0</v>
      </c>
      <c r="F14" s="45">
        <v>0</v>
      </c>
      <c r="G14" s="45">
        <v>0</v>
      </c>
      <c r="I14" s="62" t="s">
        <v>4076</v>
      </c>
      <c r="J14" s="347">
        <v>0.03</v>
      </c>
      <c r="K14" s="134">
        <f>IF((SUM(E6,(E8-SUM(IlumCusto!K31,'FI-FVCusto'!K31,MotorCusto!K31,SolarCusto!K31,CondAmbCusto!K31,RefrigCusto!K31,OutrosCusto!K31)),E15,E18))=0,0,SUM(IlumCusto!K31,'FI-FVCusto'!K31,MotorCusto!K31,SolarCusto!K31,CondAmbCusto!K31,RefrigCusto!K31,OutrosCusto!K31)/(SUM(E6,(E8-SUM(IlumCusto!K31,'FI-FVCusto'!K31,MotorCusto!K31,SolarCusto!K31,CondAmbCusto!K31,RefrigCusto!K31,OutrosCusto!K31)),E15,E18)))</f>
        <v>0</v>
      </c>
    </row>
    <row r="15" spans="2:11" x14ac:dyDescent="0.25">
      <c r="B15" s="105" t="s">
        <v>3926</v>
      </c>
      <c r="C15" s="46">
        <f>SUM(E15:G15)</f>
        <v>0</v>
      </c>
      <c r="D15" s="47">
        <f t="shared" si="1"/>
        <v>0</v>
      </c>
      <c r="E15" s="45">
        <f>Descarte!K94</f>
        <v>0</v>
      </c>
      <c r="F15" s="45">
        <v>0</v>
      </c>
      <c r="G15" s="45">
        <v>0</v>
      </c>
      <c r="I15" s="65" t="s">
        <v>5089</v>
      </c>
      <c r="J15" s="347">
        <v>0.8</v>
      </c>
      <c r="K15" s="134">
        <f>F25</f>
        <v>0</v>
      </c>
    </row>
    <row r="16" spans="2:11" x14ac:dyDescent="0.25">
      <c r="B16" s="105" t="s">
        <v>3927</v>
      </c>
      <c r="C16" s="46">
        <f t="shared" si="0"/>
        <v>0</v>
      </c>
      <c r="D16" s="47">
        <f t="shared" si="1"/>
        <v>0</v>
      </c>
      <c r="E16" s="45">
        <f>'M&amp;V'!M454</f>
        <v>0</v>
      </c>
      <c r="F16" s="45">
        <v>0</v>
      </c>
      <c r="G16" s="45">
        <v>0</v>
      </c>
    </row>
    <row r="17" spans="2:9" x14ac:dyDescent="0.25">
      <c r="B17" s="105" t="s">
        <v>3928</v>
      </c>
      <c r="C17" s="46">
        <f t="shared" si="0"/>
        <v>3000</v>
      </c>
      <c r="D17" s="47">
        <f t="shared" si="1"/>
        <v>1</v>
      </c>
      <c r="E17" s="45">
        <v>3000</v>
      </c>
      <c r="F17" s="45">
        <v>0</v>
      </c>
      <c r="G17" s="45">
        <v>0</v>
      </c>
    </row>
    <row r="18" spans="2:9" x14ac:dyDescent="0.25">
      <c r="B18" s="105" t="s">
        <v>3929</v>
      </c>
      <c r="C18" s="46">
        <f t="shared" si="0"/>
        <v>0</v>
      </c>
      <c r="D18" s="47">
        <f t="shared" si="1"/>
        <v>0</v>
      </c>
      <c r="E18" s="45">
        <f>IlumCusto!K53+CondAmbCusto!K53+MotorCusto!K53+RefrigCusto!K53+SolarCusto!K53+'FI-FVCusto'!K53+OutrosCusto!K53+BessCusto!K53</f>
        <v>0</v>
      </c>
      <c r="F18" s="45">
        <f>IlumCusto!L53+CondAmbCusto!L53+MotorCusto!L53+RefrigCusto!L53+SolarCusto!L53+'FI-FVCusto'!L53+OutrosCusto!L53+BessCusto!L53</f>
        <v>0</v>
      </c>
      <c r="G18" s="45">
        <f>IlumCusto!M53+CondAmbCusto!M53+MotorCusto!M53+RefrigCusto!M53+SolarCusto!M53+'FI-FVCusto'!M53+OutrosCusto!M53+BessCusto!M53</f>
        <v>0</v>
      </c>
    </row>
    <row r="19" spans="2:9" x14ac:dyDescent="0.25">
      <c r="B19" s="109" t="s">
        <v>3930</v>
      </c>
      <c r="C19" s="111">
        <f>SUM(C12:C18)</f>
        <v>3000</v>
      </c>
      <c r="D19" s="128">
        <f>SUM(D12:D18)</f>
        <v>1</v>
      </c>
      <c r="E19" s="129">
        <f>SUM(E12:E18)</f>
        <v>3000</v>
      </c>
      <c r="F19" s="129">
        <f>SUM(F12:F18)</f>
        <v>0</v>
      </c>
      <c r="G19" s="129">
        <f>SUM(G12:G18)</f>
        <v>0</v>
      </c>
    </row>
    <row r="20" spans="2:9" x14ac:dyDescent="0.25">
      <c r="B20" s="130" t="s">
        <v>3931</v>
      </c>
      <c r="C20" s="131">
        <f>SUM(C10,C19)</f>
        <v>3000</v>
      </c>
      <c r="D20" s="132">
        <f>SUM(D10,D19)</f>
        <v>1</v>
      </c>
      <c r="E20" s="131">
        <f>SUM(E10,E19)</f>
        <v>3000</v>
      </c>
      <c r="F20" s="131">
        <f>SUM(F10,F19)</f>
        <v>0</v>
      </c>
      <c r="G20" s="131">
        <f>SUM(G10,G19)</f>
        <v>0</v>
      </c>
      <c r="I20" s="402">
        <f>(E8-SUM(IlumCusto!K31,'FI-FVCusto'!K31,MotorCusto!K31,SolarCusto!K31,CondAmbCusto!K31,RefrigCusto!K31,OutrosCusto!K31))</f>
        <v>0</v>
      </c>
    </row>
    <row r="22" spans="2:9" hidden="1" x14ac:dyDescent="0.25">
      <c r="B22" s="775" t="s">
        <v>5088</v>
      </c>
      <c r="C22" s="777" t="s">
        <v>5078</v>
      </c>
      <c r="D22" s="778"/>
      <c r="E22" s="777" t="s">
        <v>5079</v>
      </c>
      <c r="F22" s="778"/>
      <c r="G22" s="777" t="s">
        <v>3794</v>
      </c>
      <c r="H22" s="778"/>
    </row>
    <row r="23" spans="2:9" hidden="1" x14ac:dyDescent="0.25">
      <c r="B23" s="776"/>
      <c r="C23" s="578" t="s">
        <v>3911</v>
      </c>
      <c r="D23" s="578" t="s">
        <v>3912</v>
      </c>
      <c r="E23" s="578" t="s">
        <v>3911</v>
      </c>
      <c r="F23" s="578" t="s">
        <v>3912</v>
      </c>
      <c r="G23" s="578" t="s">
        <v>3911</v>
      </c>
      <c r="H23" s="578" t="s">
        <v>3912</v>
      </c>
    </row>
    <row r="24" spans="2:9" hidden="1" x14ac:dyDescent="0.25">
      <c r="B24" s="105" t="s">
        <v>21</v>
      </c>
      <c r="C24" s="45">
        <f>SUM(IlumCusto!K38,IlumCusto!K54)</f>
        <v>0</v>
      </c>
      <c r="D24" s="579" t="str">
        <f t="shared" ref="D24:D31" si="2">IFERROR(C24/$C$32,"")</f>
        <v/>
      </c>
      <c r="E24" s="45">
        <f>IlumCusto!K27</f>
        <v>0</v>
      </c>
      <c r="F24" s="579" t="str">
        <f>IFERROR(E24/$E$32,"")</f>
        <v/>
      </c>
      <c r="G24" s="45">
        <f>SUM(C24+E24)</f>
        <v>0</v>
      </c>
      <c r="H24" s="579" t="str">
        <f t="shared" ref="H24:H31" si="3">IFERROR(G24/$G$32,"")</f>
        <v/>
      </c>
      <c r="I24" s="194"/>
    </row>
    <row r="25" spans="2:9" hidden="1" x14ac:dyDescent="0.25">
      <c r="B25" s="105" t="s">
        <v>5080</v>
      </c>
      <c r="C25" s="45">
        <f>SUM('FI-FVCusto'!K38,'FI-FVCusto'!K54)</f>
        <v>0</v>
      </c>
      <c r="D25" s="579" t="str">
        <f t="shared" si="2"/>
        <v/>
      </c>
      <c r="E25" s="45">
        <f>'FI-FVCusto'!K27</f>
        <v>0</v>
      </c>
      <c r="F25" s="579">
        <f>IFERROR(E25/$E$32,0)</f>
        <v>0</v>
      </c>
      <c r="G25" s="45">
        <f t="shared" ref="G25:G31" si="4">SUM(C25+E25)</f>
        <v>0</v>
      </c>
      <c r="H25" s="579" t="str">
        <f t="shared" si="3"/>
        <v/>
      </c>
      <c r="I25" s="194"/>
    </row>
    <row r="26" spans="2:9" hidden="1" x14ac:dyDescent="0.25">
      <c r="B26" s="105" t="s">
        <v>5082</v>
      </c>
      <c r="C26" s="45">
        <f>SUM(MotorCusto!K38,MotorCusto!K54)</f>
        <v>0</v>
      </c>
      <c r="D26" s="579" t="str">
        <f t="shared" si="2"/>
        <v/>
      </c>
      <c r="E26" s="45">
        <f>MotorCusto!K27</f>
        <v>0</v>
      </c>
      <c r="F26" s="579" t="str">
        <f t="shared" ref="F26:F27" si="5">IFERROR(E26/$E$32,"")</f>
        <v/>
      </c>
      <c r="G26" s="45">
        <f t="shared" si="4"/>
        <v>0</v>
      </c>
      <c r="H26" s="579" t="str">
        <f t="shared" si="3"/>
        <v/>
      </c>
    </row>
    <row r="27" spans="2:9" hidden="1" x14ac:dyDescent="0.25">
      <c r="B27" s="105" t="s">
        <v>5083</v>
      </c>
      <c r="C27" s="45">
        <f>SUM(SolarCusto!K38,SolarCusto!K54)</f>
        <v>0</v>
      </c>
      <c r="D27" s="579" t="str">
        <f t="shared" si="2"/>
        <v/>
      </c>
      <c r="E27" s="45">
        <f>SolarCusto!K27</f>
        <v>0</v>
      </c>
      <c r="F27" s="579" t="str">
        <f t="shared" si="5"/>
        <v/>
      </c>
      <c r="G27" s="45">
        <f t="shared" si="4"/>
        <v>0</v>
      </c>
      <c r="H27" s="579" t="str">
        <f t="shared" si="3"/>
        <v/>
      </c>
    </row>
    <row r="28" spans="2:9" hidden="1" x14ac:dyDescent="0.25">
      <c r="B28" s="105" t="s">
        <v>5081</v>
      </c>
      <c r="C28" s="45">
        <f>SUM(CondAmbCusto!K38,CondAmbCusto!K54)</f>
        <v>0</v>
      </c>
      <c r="D28" s="579" t="str">
        <f t="shared" si="2"/>
        <v/>
      </c>
      <c r="E28" s="45">
        <f>CondAmbCusto!K27</f>
        <v>0</v>
      </c>
      <c r="F28" s="579" t="str">
        <f t="shared" ref="F28:F31" si="6">IFERROR(E28/$E$32,"")</f>
        <v/>
      </c>
      <c r="G28" s="45">
        <f t="shared" si="4"/>
        <v>0</v>
      </c>
      <c r="H28" s="579" t="str">
        <f t="shared" si="3"/>
        <v/>
      </c>
    </row>
    <row r="29" spans="2:9" hidden="1" x14ac:dyDescent="0.25">
      <c r="B29" s="105" t="s">
        <v>5006</v>
      </c>
      <c r="C29" s="45">
        <f>SUM(RefrigCusto!K38,RefrigCusto!K54)</f>
        <v>0</v>
      </c>
      <c r="D29" s="579" t="str">
        <f t="shared" si="2"/>
        <v/>
      </c>
      <c r="E29" s="45">
        <f>RefrigCusto!K27</f>
        <v>0</v>
      </c>
      <c r="F29" s="579" t="str">
        <f t="shared" si="6"/>
        <v/>
      </c>
      <c r="G29" s="45">
        <f t="shared" si="4"/>
        <v>0</v>
      </c>
      <c r="H29" s="579" t="str">
        <f t="shared" si="3"/>
        <v/>
      </c>
    </row>
    <row r="30" spans="2:9" hidden="1" x14ac:dyDescent="0.25">
      <c r="B30" s="105" t="s">
        <v>5133</v>
      </c>
      <c r="C30" s="45">
        <f>SUM(BessCusto!K38,BessCusto!K54)</f>
        <v>0</v>
      </c>
      <c r="D30" s="579" t="str">
        <f t="shared" si="2"/>
        <v/>
      </c>
      <c r="E30" s="45">
        <f>BessCusto!K27</f>
        <v>0</v>
      </c>
      <c r="F30" s="579" t="str">
        <f t="shared" si="6"/>
        <v/>
      </c>
      <c r="G30" s="45">
        <f>SUM(C30+E30)</f>
        <v>0</v>
      </c>
      <c r="H30" s="579" t="str">
        <f t="shared" si="3"/>
        <v/>
      </c>
    </row>
    <row r="31" spans="2:9" hidden="1" x14ac:dyDescent="0.25">
      <c r="B31" s="105" t="s">
        <v>71</v>
      </c>
      <c r="C31" s="45">
        <f>SUM(OutrosCusto!K38,OutrosCusto!K54)</f>
        <v>0</v>
      </c>
      <c r="D31" s="579" t="str">
        <f t="shared" si="2"/>
        <v/>
      </c>
      <c r="E31" s="45">
        <f>OutrosCusto!K27</f>
        <v>0</v>
      </c>
      <c r="F31" s="579" t="str">
        <f t="shared" si="6"/>
        <v/>
      </c>
      <c r="G31" s="45">
        <f t="shared" si="4"/>
        <v>0</v>
      </c>
      <c r="H31" s="579" t="str">
        <f t="shared" si="3"/>
        <v/>
      </c>
    </row>
    <row r="32" spans="2:9" hidden="1" x14ac:dyDescent="0.25">
      <c r="B32" s="130" t="s">
        <v>5084</v>
      </c>
      <c r="C32" s="129">
        <f t="shared" ref="C32:H32" si="7">SUM(C24:C31)</f>
        <v>0</v>
      </c>
      <c r="D32" s="128">
        <f t="shared" si="7"/>
        <v>0</v>
      </c>
      <c r="E32" s="129">
        <f t="shared" si="7"/>
        <v>0</v>
      </c>
      <c r="F32" s="596">
        <f t="shared" si="7"/>
        <v>0</v>
      </c>
      <c r="G32" s="129">
        <f t="shared" si="7"/>
        <v>0</v>
      </c>
      <c r="H32" s="128">
        <f t="shared" si="7"/>
        <v>0</v>
      </c>
    </row>
  </sheetData>
  <sheetProtection algorithmName="SHA-512" hashValue="DFgP0hMCv9FzAlFhQoCtEojDSjuNjcBgA27f33Uu3Z1tHHPEPFmkYu9mwQ1iDxOHsPTMY0Y638ljHy21Z6wjeQ==" saltValue="4g9EYbpE/zmswyS9mZTjLQ==" spinCount="100000" sheet="1" objects="1" scenarios="1"/>
  <mergeCells count="12">
    <mergeCell ref="B22:B23"/>
    <mergeCell ref="C22:D22"/>
    <mergeCell ref="E22:F22"/>
    <mergeCell ref="G22:H22"/>
    <mergeCell ref="I2:J9"/>
    <mergeCell ref="E2:G2"/>
    <mergeCell ref="C2:D2"/>
    <mergeCell ref="B2:B4"/>
    <mergeCell ref="B5:G5"/>
    <mergeCell ref="B11:G11"/>
    <mergeCell ref="C3:C4"/>
    <mergeCell ref="D3:D4"/>
  </mergeCells>
  <conditionalFormatting sqref="K12">
    <cfRule type="expression" dxfId="108" priority="9">
      <formula>AND(K12&lt;=J12,K12&gt;0)</formula>
    </cfRule>
    <cfRule type="expression" dxfId="107" priority="14">
      <formula>OR(K12&gt;J12,K12&lt;=0)</formula>
    </cfRule>
  </conditionalFormatting>
  <conditionalFormatting sqref="K15">
    <cfRule type="cellIs" dxfId="106" priority="1" operator="greaterThan">
      <formula>0.80001</formula>
    </cfRule>
  </conditionalFormatting>
  <pageMargins left="0.7" right="0.7" top="0.75" bottom="0.75" header="0.3" footer="0.3"/>
  <pageSetup paperSize="9" orientation="portrait" r:id="rId1"/>
  <headerFooter>
    <oddHeader>&amp;L&amp;"Calibri"&amp;10&amp;K0000FFUso Interno CPFL&amp;1#</oddHeader>
  </headerFooter>
  <ignoredErrors>
    <ignoredError sqref="J20 A11:B11 A12:B12 H12 A2:B2 A14:B16 A19:B20 D18 D6:D9 D12 D19:E19 D20 D14:D16 H14:H16 H20 A5:B5 A4:B4 A3:B3 H3:H4 A31:A36 K2:IQ10 H6:H10 A6:B10 A18 M16:IQ16 H18 M18:IQ18 H33:I36 K19:IQ21 H19:J19 F21:J21 J31:IQ65516 L14:IQ15 I31:I32 L11:IQ12 C11:H11 C2:H2 C5:H5 C4:E4 C3:E3 A21:D21 A1:IQ1 A37:I65516 I26:I29 J25:IQ29 A25:A29" unlockedFormula="1"/>
    <ignoredError sqref="D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/>
  <dimension ref="B2:N27"/>
  <sheetViews>
    <sheetView zoomScale="130" zoomScaleNormal="130" workbookViewId="0">
      <selection activeCell="B2" sqref="B2:M2"/>
    </sheetView>
  </sheetViews>
  <sheetFormatPr defaultColWidth="9.140625" defaultRowHeight="15" x14ac:dyDescent="0.25"/>
  <cols>
    <col min="1" max="1" width="3.7109375" style="52" customWidth="1"/>
    <col min="2" max="2" width="12.7109375" style="52" customWidth="1"/>
    <col min="3" max="3" width="16.7109375" style="52" customWidth="1"/>
    <col min="4" max="4" width="23" style="52" bestFit="1" customWidth="1"/>
    <col min="5" max="7" width="16.7109375" style="52" customWidth="1"/>
    <col min="8" max="8" width="18" style="52" customWidth="1"/>
    <col min="9" max="11" width="16.7109375" style="52" customWidth="1"/>
    <col min="12" max="12" width="10.7109375" style="52" customWidth="1"/>
    <col min="13" max="13" width="9.140625" style="52" customWidth="1"/>
    <col min="14" max="16384" width="9.140625" style="52"/>
  </cols>
  <sheetData>
    <row r="2" spans="2:13" x14ac:dyDescent="0.25">
      <c r="B2" s="788" t="s">
        <v>2</v>
      </c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</row>
    <row r="3" spans="2:13" x14ac:dyDescent="0.25">
      <c r="B3" s="787" t="s">
        <v>3936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</row>
    <row r="4" spans="2:13" x14ac:dyDescent="0.25">
      <c r="B4" s="445"/>
      <c r="C4" s="368"/>
      <c r="D4" s="528"/>
      <c r="E4" s="369"/>
      <c r="F4" s="370"/>
      <c r="G4" s="369"/>
      <c r="H4" s="446"/>
      <c r="I4" s="369"/>
      <c r="J4" s="530"/>
      <c r="K4" s="63"/>
      <c r="L4" s="63"/>
      <c r="M4" s="447"/>
    </row>
    <row r="5" spans="2:13" x14ac:dyDescent="0.25">
      <c r="B5" s="367"/>
      <c r="C5" s="368"/>
      <c r="D5" s="528"/>
      <c r="E5" s="369" t="s">
        <v>3937</v>
      </c>
      <c r="F5" s="370" t="s">
        <v>3938</v>
      </c>
      <c r="G5" s="369" t="s">
        <v>3939</v>
      </c>
      <c r="H5" s="446" t="s">
        <v>3940</v>
      </c>
      <c r="I5" s="369" t="s">
        <v>3941</v>
      </c>
      <c r="J5" s="530"/>
      <c r="K5" s="63"/>
      <c r="L5" s="63"/>
      <c r="M5" s="448"/>
    </row>
    <row r="6" spans="2:13" x14ac:dyDescent="0.25">
      <c r="B6" s="367" t="s">
        <v>3942</v>
      </c>
      <c r="C6" s="368"/>
      <c r="D6" s="528" t="s">
        <v>21</v>
      </c>
      <c r="E6" s="369" t="s">
        <v>3943</v>
      </c>
      <c r="F6" s="370" t="s">
        <v>3944</v>
      </c>
      <c r="G6" s="369" t="s">
        <v>3945</v>
      </c>
      <c r="H6" s="446" t="s">
        <v>3946</v>
      </c>
      <c r="I6" s="369" t="s">
        <v>3947</v>
      </c>
      <c r="J6" s="530" t="s">
        <v>71</v>
      </c>
      <c r="K6" s="530" t="s">
        <v>5133</v>
      </c>
      <c r="L6" s="63"/>
      <c r="M6" s="371"/>
    </row>
    <row r="7" spans="2:13" x14ac:dyDescent="0.25">
      <c r="B7" s="367"/>
      <c r="C7" s="368"/>
      <c r="D7" s="528"/>
      <c r="E7" s="369"/>
      <c r="F7" s="370"/>
      <c r="G7" s="369"/>
      <c r="H7" s="446"/>
      <c r="I7" s="369"/>
      <c r="J7" s="530"/>
      <c r="K7" s="63"/>
      <c r="L7" s="63"/>
      <c r="M7" s="371"/>
    </row>
    <row r="8" spans="2:13" x14ac:dyDescent="0.25">
      <c r="B8" s="367" t="s">
        <v>3900</v>
      </c>
      <c r="C8" s="368"/>
      <c r="D8" s="362">
        <f>IlumBenef!G44</f>
        <v>0</v>
      </c>
      <c r="E8" s="362">
        <f>CondAmbBenef!G48</f>
        <v>0</v>
      </c>
      <c r="F8" s="362">
        <f>MotorBenef!G49</f>
        <v>0</v>
      </c>
      <c r="G8" s="362">
        <f>RefrigBenef!G44</f>
        <v>0</v>
      </c>
      <c r="H8" s="362">
        <f>SolarBenef!G24</f>
        <v>0</v>
      </c>
      <c r="I8" s="362">
        <f>'FI-FVBenef'!G20</f>
        <v>0</v>
      </c>
      <c r="J8" s="362">
        <f>OutrosBenef!G46</f>
        <v>0</v>
      </c>
      <c r="K8" s="362">
        <f>BESSBenef!G27</f>
        <v>0</v>
      </c>
      <c r="L8" s="376" t="s">
        <v>3948</v>
      </c>
      <c r="M8" s="375"/>
    </row>
    <row r="9" spans="2:13" x14ac:dyDescent="0.25">
      <c r="B9" s="367" t="s">
        <v>3901</v>
      </c>
      <c r="C9" s="368"/>
      <c r="D9" s="362">
        <f>IlumBenef!G42</f>
        <v>0</v>
      </c>
      <c r="E9" s="362">
        <f>CondAmbBenef!G46</f>
        <v>0</v>
      </c>
      <c r="F9" s="362">
        <f>MotorBenef!G47</f>
        <v>0</v>
      </c>
      <c r="G9" s="362">
        <f>RefrigBenef!G42</f>
        <v>0</v>
      </c>
      <c r="H9" s="362">
        <f>SolarBenef!G22</f>
        <v>0</v>
      </c>
      <c r="I9" s="362">
        <v>0</v>
      </c>
      <c r="J9" s="362">
        <f>OutrosBenef!G44</f>
        <v>0</v>
      </c>
      <c r="K9" s="362">
        <f>BESSBenef!G26</f>
        <v>0</v>
      </c>
      <c r="L9" s="376" t="s">
        <v>3857</v>
      </c>
      <c r="M9" s="375"/>
    </row>
    <row r="10" spans="2:13" x14ac:dyDescent="0.25">
      <c r="B10" s="367" t="s">
        <v>3949</v>
      </c>
      <c r="C10" s="368"/>
      <c r="D10" s="363">
        <f>RCB!F7/12</f>
        <v>0</v>
      </c>
      <c r="E10" s="363">
        <f>RCB!F8/12</f>
        <v>0</v>
      </c>
      <c r="F10" s="363">
        <f>RCB!F9/12</f>
        <v>0</v>
      </c>
      <c r="G10" s="363">
        <f>RCB!F10/12</f>
        <v>0</v>
      </c>
      <c r="H10" s="363">
        <f>RCB!F11/12</f>
        <v>0</v>
      </c>
      <c r="I10" s="363">
        <f>RCB!F12/12</f>
        <v>0</v>
      </c>
      <c r="J10" s="363">
        <f>RCB!F13/12</f>
        <v>0</v>
      </c>
      <c r="K10" s="363">
        <f>BESSBenef!G28/12</f>
        <v>0</v>
      </c>
      <c r="L10" s="376"/>
      <c r="M10" s="531"/>
    </row>
    <row r="11" spans="2:13" x14ac:dyDescent="0.25">
      <c r="B11" s="367" t="s">
        <v>3950</v>
      </c>
      <c r="C11" s="368"/>
      <c r="D11" s="364">
        <f>IFERROR(AVERAGE(IlumCusto!V6:V26),0)</f>
        <v>0</v>
      </c>
      <c r="E11" s="364">
        <f>IFERROR(AVERAGE(CondAmbCusto!V6:V26),0)</f>
        <v>0</v>
      </c>
      <c r="F11" s="364">
        <f>IFERROR(AVERAGE(MotorCusto!V6:V26),0)</f>
        <v>0</v>
      </c>
      <c r="G11" s="364">
        <f>IFERROR(AVERAGE(RefrigCusto!V6:V26),0)</f>
        <v>0</v>
      </c>
      <c r="H11" s="364">
        <f>IFERROR(AVERAGE(SolarCusto!V6:V26),0)</f>
        <v>0</v>
      </c>
      <c r="I11" s="364">
        <f>IFERROR(AVERAGE('FI-FVCusto'!V6:V26),0)</f>
        <v>0</v>
      </c>
      <c r="J11" s="364">
        <f>IFERROR(AVERAGE(OutrosCusto!V6:V26),0)</f>
        <v>0</v>
      </c>
      <c r="K11" s="364">
        <f>IFERROR(AVERAGE(BessCusto!V6:V26),0)</f>
        <v>0</v>
      </c>
      <c r="L11" s="376" t="s">
        <v>3951</v>
      </c>
      <c r="M11" s="375"/>
    </row>
    <row r="12" spans="2:13" x14ac:dyDescent="0.25">
      <c r="B12" s="367"/>
      <c r="C12" s="368"/>
      <c r="D12" s="368"/>
      <c r="E12" s="368"/>
      <c r="F12" s="374"/>
      <c r="G12" s="370"/>
      <c r="H12" s="530"/>
      <c r="I12" s="530"/>
      <c r="J12" s="530"/>
      <c r="K12" s="63"/>
      <c r="L12" s="63"/>
      <c r="M12" s="531"/>
    </row>
    <row r="13" spans="2:13" x14ac:dyDescent="0.25">
      <c r="B13" s="62"/>
      <c r="C13" s="63"/>
      <c r="D13" s="789" t="s">
        <v>3952</v>
      </c>
      <c r="E13" s="789"/>
      <c r="F13" s="369"/>
      <c r="G13" s="63"/>
      <c r="H13" s="783" t="s">
        <v>3953</v>
      </c>
      <c r="I13" s="784"/>
      <c r="J13" s="363" t="str">
        <f>IFERROR(F17/J17,"")</f>
        <v/>
      </c>
      <c r="K13" s="409">
        <f>IF(SUM($D$10:$K$10)=0,0,IF((F17/SUM($D$10:$K$10))&gt;(J15*12),F17/ROUNDUP(J15*12,0),SUM($D$10:$K$10)))</f>
        <v>0</v>
      </c>
      <c r="L13" s="409"/>
      <c r="M13" s="449"/>
    </row>
    <row r="14" spans="2:13" x14ac:dyDescent="0.25">
      <c r="B14" s="367"/>
      <c r="C14" s="368"/>
      <c r="D14" s="63"/>
      <c r="E14" s="368"/>
      <c r="F14" s="63"/>
      <c r="G14" s="63"/>
      <c r="H14" s="374"/>
      <c r="I14" s="530"/>
      <c r="J14" s="63"/>
      <c r="K14" s="374"/>
      <c r="L14" s="374"/>
      <c r="M14" s="450"/>
    </row>
    <row r="15" spans="2:13" x14ac:dyDescent="0.25">
      <c r="B15" s="62"/>
      <c r="C15" s="63"/>
      <c r="D15" s="783" t="s">
        <v>3954</v>
      </c>
      <c r="E15" s="784"/>
      <c r="F15" s="363">
        <f>CustoContabil!C20</f>
        <v>3000</v>
      </c>
      <c r="G15" s="63"/>
      <c r="H15" s="789" t="s">
        <v>3955</v>
      </c>
      <c r="I15" s="790"/>
      <c r="J15" s="365">
        <f>IFERROR((SUMPRODUCT(D11:K11,D10:K10)/SUM(D10:K10)),0)</f>
        <v>0</v>
      </c>
      <c r="K15" s="374" t="s">
        <v>3951</v>
      </c>
      <c r="L15" s="374"/>
      <c r="M15" s="450"/>
    </row>
    <row r="16" spans="2:13" x14ac:dyDescent="0.25">
      <c r="B16" s="62"/>
      <c r="C16" s="63"/>
      <c r="D16" s="376"/>
      <c r="E16" s="368"/>
      <c r="F16" s="63"/>
      <c r="G16" s="63"/>
      <c r="H16" s="374"/>
      <c r="I16" s="530"/>
      <c r="J16" s="63"/>
      <c r="K16" s="374"/>
      <c r="L16" s="374"/>
      <c r="M16" s="451"/>
    </row>
    <row r="17" spans="2:14" x14ac:dyDescent="0.25">
      <c r="B17" s="62"/>
      <c r="C17" s="63"/>
      <c r="D17" s="783" t="s">
        <v>3956</v>
      </c>
      <c r="E17" s="784"/>
      <c r="F17" s="363">
        <f>SUM(CustoContabil!E6,(CustoContabil!E8-'Cronograma Financeiro'!M7),CustoContabil!E14,CustoContabil!E15,CustoContabil!E16,CustoContabil!E18)</f>
        <v>0</v>
      </c>
      <c r="G17" s="63"/>
      <c r="H17" s="785" t="s">
        <v>3957</v>
      </c>
      <c r="I17" s="786"/>
      <c r="J17" s="366">
        <f>IF((IFERROR(ROUNDUP(F17/K13,0),0))&gt;60,60,(IFERROR(ROUNDUP(F17/K13,0),0)))</f>
        <v>0</v>
      </c>
      <c r="K17" s="63" t="s">
        <v>3860</v>
      </c>
      <c r="L17" s="63"/>
      <c r="M17" s="451"/>
    </row>
    <row r="18" spans="2:14" x14ac:dyDescent="0.25">
      <c r="B18" s="372"/>
      <c r="C18" s="373"/>
      <c r="D18" s="373"/>
      <c r="E18" s="373"/>
      <c r="F18" s="67"/>
      <c r="G18" s="67"/>
      <c r="H18" s="67"/>
      <c r="I18" s="67"/>
      <c r="J18" s="452"/>
      <c r="K18" s="452"/>
      <c r="L18" s="452"/>
      <c r="M18" s="453"/>
    </row>
    <row r="19" spans="2:14" x14ac:dyDescent="0.25">
      <c r="B19" s="787" t="s">
        <v>3958</v>
      </c>
      <c r="C19" s="787"/>
      <c r="D19" s="787"/>
      <c r="E19" s="787"/>
      <c r="F19" s="787"/>
      <c r="G19" s="787"/>
      <c r="H19" s="787"/>
      <c r="I19" s="787"/>
      <c r="J19" s="787"/>
      <c r="K19" s="787"/>
      <c r="L19" s="787"/>
      <c r="M19" s="787"/>
    </row>
    <row r="20" spans="2:14" x14ac:dyDescent="0.25">
      <c r="B20" s="445"/>
      <c r="C20" s="368"/>
      <c r="D20" s="528"/>
      <c r="E20" s="369"/>
      <c r="F20" s="370"/>
      <c r="G20" s="369"/>
      <c r="H20" s="446"/>
      <c r="I20" s="369"/>
      <c r="J20" s="530"/>
      <c r="K20" s="63"/>
      <c r="L20" s="63"/>
      <c r="M20" s="447"/>
    </row>
    <row r="21" spans="2:14" x14ac:dyDescent="0.25">
      <c r="B21" s="367"/>
      <c r="C21" s="63"/>
      <c r="D21" s="368" t="s">
        <v>3959</v>
      </c>
      <c r="E21" s="454" t="str">
        <f>J13</f>
        <v/>
      </c>
      <c r="F21" s="455"/>
      <c r="G21" s="455"/>
      <c r="H21" s="455" t="s">
        <v>3960</v>
      </c>
      <c r="I21" s="454" t="s">
        <v>3961</v>
      </c>
      <c r="J21" s="376" t="s">
        <v>3962</v>
      </c>
      <c r="K21" s="63"/>
      <c r="L21" s="63"/>
      <c r="M21" s="371"/>
    </row>
    <row r="22" spans="2:14" x14ac:dyDescent="0.25">
      <c r="B22" s="62"/>
      <c r="C22" s="63"/>
      <c r="D22" s="368"/>
      <c r="E22" s="529"/>
      <c r="F22" s="63"/>
      <c r="G22" s="374"/>
      <c r="H22" s="368"/>
      <c r="I22" s="529"/>
      <c r="J22" s="63"/>
      <c r="K22" s="63"/>
      <c r="L22" s="63"/>
      <c r="M22" s="451"/>
    </row>
    <row r="23" spans="2:14" x14ac:dyDescent="0.25">
      <c r="B23" s="367"/>
      <c r="C23" s="63"/>
      <c r="D23" s="368" t="s">
        <v>3963</v>
      </c>
      <c r="E23" s="454" t="str">
        <f>E21</f>
        <v/>
      </c>
      <c r="F23" s="376" t="s">
        <v>3964</v>
      </c>
      <c r="G23" s="455"/>
      <c r="H23" s="455" t="s">
        <v>3965</v>
      </c>
      <c r="I23" s="454" t="s">
        <v>3966</v>
      </c>
      <c r="J23" s="376" t="s">
        <v>3967</v>
      </c>
      <c r="K23" s="456"/>
      <c r="L23" s="456"/>
      <c r="M23" s="371"/>
    </row>
    <row r="24" spans="2:14" x14ac:dyDescent="0.25">
      <c r="B24" s="62"/>
      <c r="C24" s="63"/>
      <c r="D24" s="368"/>
      <c r="E24" s="529"/>
      <c r="F24" s="63"/>
      <c r="G24" s="374"/>
      <c r="H24" s="368"/>
      <c r="I24" s="63"/>
      <c r="J24" s="63"/>
      <c r="K24" s="63"/>
      <c r="L24" s="63"/>
      <c r="M24" s="451"/>
    </row>
    <row r="25" spans="2:14" x14ac:dyDescent="0.25">
      <c r="B25" s="367"/>
      <c r="C25" s="63"/>
      <c r="D25" s="368" t="s">
        <v>3968</v>
      </c>
      <c r="E25" s="454" t="s">
        <v>3969</v>
      </c>
      <c r="F25" s="376" t="s">
        <v>3970</v>
      </c>
      <c r="G25" s="376"/>
      <c r="H25" s="455"/>
      <c r="I25" s="455"/>
      <c r="J25" s="455"/>
      <c r="K25" s="456"/>
      <c r="L25" s="456"/>
      <c r="M25" s="371"/>
      <c r="N25" s="457"/>
    </row>
    <row r="26" spans="2:14" x14ac:dyDescent="0.25">
      <c r="B26" s="372"/>
      <c r="C26" s="373"/>
      <c r="D26" s="373"/>
      <c r="E26" s="373"/>
      <c r="F26" s="67"/>
      <c r="G26" s="67"/>
      <c r="H26" s="67"/>
      <c r="I26" s="67"/>
      <c r="J26" s="458"/>
      <c r="K26" s="458"/>
      <c r="L26" s="452"/>
      <c r="M26" s="453"/>
    </row>
    <row r="27" spans="2:14" x14ac:dyDescent="0.25">
      <c r="B27" s="52" t="s">
        <v>3971</v>
      </c>
    </row>
  </sheetData>
  <sheetProtection algorithmName="SHA-512" hashValue="8ADiwMsrCPUkWF+JkWSYF1Xzt2OhKNTBU9xOox49eG+prLEOJHnzTUNOt3UAhzxDiidtIxOmLLbbR0qtoLE+CQ==" saltValue="b2Knx1qj5hmQ9bLeRYMsCQ==" spinCount="100000" sheet="1" objects="1" scenarios="1"/>
  <mergeCells count="9">
    <mergeCell ref="D17:E17"/>
    <mergeCell ref="H17:I17"/>
    <mergeCell ref="B19:M19"/>
    <mergeCell ref="B2:M2"/>
    <mergeCell ref="B3:M3"/>
    <mergeCell ref="D13:E13"/>
    <mergeCell ref="H13:I13"/>
    <mergeCell ref="D15:E15"/>
    <mergeCell ref="H15:I15"/>
  </mergeCells>
  <dataValidations count="1">
    <dataValidation errorStyle="warning" allowBlank="1" showInputMessage="1" showErrorMessage="1" errorTitle="PRAZO DE QUITAÇÃO ULTRAPASSADO" error="O valor de amortização mínima mensal deverá ser superior para atender ao prazo máximo de 60 parcelas para quitação do saldo. Editar célula H11." sqref="J17" xr:uid="{00000000-0002-0000-0D00-000000000000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/>
  <dimension ref="B2:N658"/>
  <sheetViews>
    <sheetView showGridLines="0" zoomScaleNormal="100" workbookViewId="0">
      <selection activeCell="N18" sqref="N18"/>
    </sheetView>
  </sheetViews>
  <sheetFormatPr defaultColWidth="9.140625" defaultRowHeight="15" x14ac:dyDescent="0.25"/>
  <cols>
    <col min="1" max="1" width="3.7109375" style="52" customWidth="1"/>
    <col min="2" max="2" width="3.28515625" style="52" bestFit="1" customWidth="1"/>
    <col min="3" max="9" width="9.140625" style="52"/>
    <col min="10" max="11" width="12.7109375" style="52" customWidth="1"/>
    <col min="12" max="12" width="15" style="52" bestFit="1" customWidth="1"/>
    <col min="13" max="13" width="14.85546875" style="52" customWidth="1"/>
    <col min="14" max="14" width="18.140625" style="52" customWidth="1"/>
    <col min="15" max="16384" width="9.140625" style="52"/>
  </cols>
  <sheetData>
    <row r="2" spans="2:14" x14ac:dyDescent="0.25">
      <c r="B2" s="734" t="s">
        <v>3972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6"/>
    </row>
    <row r="3" spans="2:14" x14ac:dyDescent="0.25">
      <c r="B3" s="734" t="s">
        <v>3973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6"/>
    </row>
    <row r="4" spans="2:14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2:14" x14ac:dyDescent="0.25">
      <c r="B5" s="62"/>
      <c r="C5" s="63"/>
      <c r="D5" s="63" t="s">
        <v>3974</v>
      </c>
      <c r="E5" s="63"/>
      <c r="F5" s="63"/>
      <c r="G5" s="63"/>
      <c r="H5" s="135">
        <v>0.95</v>
      </c>
      <c r="I5" s="63"/>
      <c r="J5" s="63"/>
      <c r="K5" s="63"/>
      <c r="L5" s="63" t="s">
        <v>3975</v>
      </c>
      <c r="M5" s="63"/>
      <c r="N5" s="64"/>
    </row>
    <row r="6" spans="2:14" x14ac:dyDescent="0.25">
      <c r="B6" s="62"/>
      <c r="C6" s="63"/>
      <c r="D6" s="63" t="s">
        <v>3976</v>
      </c>
      <c r="E6" s="63"/>
      <c r="F6" s="63"/>
      <c r="G6" s="63"/>
      <c r="H6" s="135">
        <v>0.1</v>
      </c>
      <c r="I6" s="63"/>
      <c r="J6" s="63"/>
      <c r="K6" s="63"/>
      <c r="L6" s="809">
        <v>1.96</v>
      </c>
      <c r="M6" s="809"/>
      <c r="N6" s="64"/>
    </row>
    <row r="7" spans="2:14" x14ac:dyDescent="0.25">
      <c r="B7" s="6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2:14" x14ac:dyDescent="0.25">
      <c r="B8" s="734" t="s">
        <v>3977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6"/>
    </row>
    <row r="9" spans="2:14" x14ac:dyDescent="0.25">
      <c r="B9" s="805" t="s">
        <v>3978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797" t="s">
        <v>3909</v>
      </c>
      <c r="N9" s="797"/>
    </row>
    <row r="10" spans="2:14" x14ac:dyDescent="0.25">
      <c r="B10" s="798" t="s">
        <v>3979</v>
      </c>
      <c r="C10" s="799"/>
      <c r="D10" s="799"/>
      <c r="E10" s="799"/>
      <c r="F10" s="799"/>
      <c r="G10" s="799"/>
      <c r="H10" s="799"/>
      <c r="I10" s="799"/>
      <c r="J10" s="800"/>
      <c r="K10" s="136" t="s">
        <v>3980</v>
      </c>
      <c r="L10" s="136" t="s">
        <v>3981</v>
      </c>
      <c r="M10" s="136" t="s">
        <v>3982</v>
      </c>
      <c r="N10" s="138" t="s">
        <v>3794</v>
      </c>
    </row>
    <row r="11" spans="2:14" x14ac:dyDescent="0.25">
      <c r="B11" s="806" t="s">
        <v>3983</v>
      </c>
      <c r="C11" s="807"/>
      <c r="D11" s="807"/>
      <c r="E11" s="807"/>
      <c r="F11" s="807"/>
      <c r="G11" s="807"/>
      <c r="H11" s="807"/>
      <c r="I11" s="807"/>
      <c r="J11" s="808"/>
      <c r="K11" s="490"/>
      <c r="L11" s="17"/>
      <c r="M11" s="45">
        <f>N11</f>
        <v>0</v>
      </c>
      <c r="N11" s="143">
        <f>K11*L11</f>
        <v>0</v>
      </c>
    </row>
    <row r="12" spans="2:14" x14ac:dyDescent="0.25">
      <c r="B12" s="798" t="s">
        <v>3984</v>
      </c>
      <c r="C12" s="799"/>
      <c r="D12" s="799"/>
      <c r="E12" s="799"/>
      <c r="F12" s="799"/>
      <c r="G12" s="799"/>
      <c r="H12" s="800"/>
      <c r="I12" s="532" t="s">
        <v>3985</v>
      </c>
      <c r="J12" s="136" t="s">
        <v>3986</v>
      </c>
      <c r="K12" s="136" t="s">
        <v>3987</v>
      </c>
      <c r="L12" s="136" t="s">
        <v>3981</v>
      </c>
      <c r="M12" s="136" t="s">
        <v>3982</v>
      </c>
      <c r="N12" s="138" t="s">
        <v>3794</v>
      </c>
    </row>
    <row r="13" spans="2:14" x14ac:dyDescent="0.25">
      <c r="B13" s="139">
        <v>1</v>
      </c>
      <c r="C13" s="791"/>
      <c r="D13" s="791"/>
      <c r="E13" s="791"/>
      <c r="F13" s="791"/>
      <c r="G13" s="791"/>
      <c r="H13" s="792"/>
      <c r="I13" s="547">
        <v>0.5</v>
      </c>
      <c r="J13" s="16"/>
      <c r="K13" s="48">
        <f t="shared" ref="K13:K42" si="0">IF(OR(I13=0,J13=0),0,IF((((($L$6^2*I13^2)/$H$6^2)*J13)/((($L$6^2*I13^2)/$H$6^2)+J13))&lt;(($L$6^2*I13^2)/$H$6^2),ROUND((((($L$6^2*I13^2)/$H$6^2)*J13)/((($L$6^2*I13^2)/$H$6^2)+J13)),0),ROUND((($L$6^2*I13^2)/$H$6^2),0)))</f>
        <v>0</v>
      </c>
      <c r="L13" s="17"/>
      <c r="M13" s="45">
        <f>N13</f>
        <v>0</v>
      </c>
      <c r="N13" s="143">
        <f t="shared" ref="N13:N42" si="1">K13*L13</f>
        <v>0</v>
      </c>
    </row>
    <row r="14" spans="2:14" x14ac:dyDescent="0.25">
      <c r="B14" s="139">
        <v>2</v>
      </c>
      <c r="C14" s="791"/>
      <c r="D14" s="791"/>
      <c r="E14" s="791"/>
      <c r="F14" s="791"/>
      <c r="G14" s="791"/>
      <c r="H14" s="792"/>
      <c r="I14" s="547">
        <v>0.5</v>
      </c>
      <c r="J14" s="16"/>
      <c r="K14" s="48">
        <f t="shared" si="0"/>
        <v>0</v>
      </c>
      <c r="L14" s="459"/>
      <c r="M14" s="45">
        <f>N14</f>
        <v>0</v>
      </c>
      <c r="N14" s="143">
        <f t="shared" si="1"/>
        <v>0</v>
      </c>
    </row>
    <row r="15" spans="2:14" x14ac:dyDescent="0.25">
      <c r="B15" s="139">
        <v>3</v>
      </c>
      <c r="C15" s="791"/>
      <c r="D15" s="791"/>
      <c r="E15" s="791"/>
      <c r="F15" s="791"/>
      <c r="G15" s="791"/>
      <c r="H15" s="792"/>
      <c r="I15" s="547">
        <v>0.5</v>
      </c>
      <c r="J15" s="16"/>
      <c r="K15" s="48">
        <f t="shared" si="0"/>
        <v>0</v>
      </c>
      <c r="L15" s="17"/>
      <c r="M15" s="45">
        <f t="shared" ref="M15:M42" si="2">N15</f>
        <v>0</v>
      </c>
      <c r="N15" s="143">
        <f t="shared" si="1"/>
        <v>0</v>
      </c>
    </row>
    <row r="16" spans="2:14" x14ac:dyDescent="0.25">
      <c r="B16" s="139">
        <v>4</v>
      </c>
      <c r="C16" s="791"/>
      <c r="D16" s="791"/>
      <c r="E16" s="791"/>
      <c r="F16" s="791"/>
      <c r="G16" s="791"/>
      <c r="H16" s="792"/>
      <c r="I16" s="489">
        <v>0.5</v>
      </c>
      <c r="J16" s="16"/>
      <c r="K16" s="48">
        <f t="shared" si="0"/>
        <v>0</v>
      </c>
      <c r="L16" s="17"/>
      <c r="M16" s="45">
        <f t="shared" si="2"/>
        <v>0</v>
      </c>
      <c r="N16" s="143">
        <f t="shared" si="1"/>
        <v>0</v>
      </c>
    </row>
    <row r="17" spans="2:14" x14ac:dyDescent="0.25">
      <c r="B17" s="139">
        <v>5</v>
      </c>
      <c r="C17" s="791"/>
      <c r="D17" s="791"/>
      <c r="E17" s="791"/>
      <c r="F17" s="791"/>
      <c r="G17" s="791"/>
      <c r="H17" s="792"/>
      <c r="I17" s="547">
        <v>0.5</v>
      </c>
      <c r="J17" s="16"/>
      <c r="K17" s="48">
        <f t="shared" si="0"/>
        <v>0</v>
      </c>
      <c r="L17" s="17"/>
      <c r="M17" s="45">
        <f t="shared" si="2"/>
        <v>0</v>
      </c>
      <c r="N17" s="143">
        <f t="shared" si="1"/>
        <v>0</v>
      </c>
    </row>
    <row r="18" spans="2:14" x14ac:dyDescent="0.25">
      <c r="B18" s="139">
        <v>6</v>
      </c>
      <c r="C18" s="791"/>
      <c r="D18" s="791"/>
      <c r="E18" s="791"/>
      <c r="F18" s="791"/>
      <c r="G18" s="791"/>
      <c r="H18" s="792"/>
      <c r="I18" s="547">
        <v>0.5</v>
      </c>
      <c r="J18" s="16"/>
      <c r="K18" s="48">
        <f t="shared" si="0"/>
        <v>0</v>
      </c>
      <c r="L18" s="17"/>
      <c r="M18" s="45">
        <f t="shared" si="2"/>
        <v>0</v>
      </c>
      <c r="N18" s="143">
        <f t="shared" si="1"/>
        <v>0</v>
      </c>
    </row>
    <row r="19" spans="2:14" x14ac:dyDescent="0.25">
      <c r="B19" s="139">
        <v>7</v>
      </c>
      <c r="C19" s="791"/>
      <c r="D19" s="791"/>
      <c r="E19" s="791"/>
      <c r="F19" s="791"/>
      <c r="G19" s="791"/>
      <c r="H19" s="792"/>
      <c r="I19" s="547">
        <v>0.5</v>
      </c>
      <c r="J19" s="16"/>
      <c r="K19" s="48">
        <f t="shared" si="0"/>
        <v>0</v>
      </c>
      <c r="L19" s="17"/>
      <c r="M19" s="45">
        <f t="shared" si="2"/>
        <v>0</v>
      </c>
      <c r="N19" s="143">
        <f t="shared" si="1"/>
        <v>0</v>
      </c>
    </row>
    <row r="20" spans="2:14" x14ac:dyDescent="0.25">
      <c r="B20" s="139">
        <v>8</v>
      </c>
      <c r="C20" s="791"/>
      <c r="D20" s="791"/>
      <c r="E20" s="791"/>
      <c r="F20" s="791"/>
      <c r="G20" s="791"/>
      <c r="H20" s="792"/>
      <c r="I20" s="547">
        <v>0.5</v>
      </c>
      <c r="J20" s="16"/>
      <c r="K20" s="48">
        <f t="shared" si="0"/>
        <v>0</v>
      </c>
      <c r="L20" s="17"/>
      <c r="M20" s="45">
        <f t="shared" si="2"/>
        <v>0</v>
      </c>
      <c r="N20" s="143">
        <f t="shared" si="1"/>
        <v>0</v>
      </c>
    </row>
    <row r="21" spans="2:14" x14ac:dyDescent="0.25">
      <c r="B21" s="139">
        <v>9</v>
      </c>
      <c r="C21" s="791"/>
      <c r="D21" s="791"/>
      <c r="E21" s="791"/>
      <c r="F21" s="791"/>
      <c r="G21" s="791"/>
      <c r="H21" s="792"/>
      <c r="I21" s="547">
        <v>0.5</v>
      </c>
      <c r="J21" s="16"/>
      <c r="K21" s="48">
        <f t="shared" si="0"/>
        <v>0</v>
      </c>
      <c r="L21" s="17"/>
      <c r="M21" s="45">
        <f t="shared" si="2"/>
        <v>0</v>
      </c>
      <c r="N21" s="143">
        <f t="shared" si="1"/>
        <v>0</v>
      </c>
    </row>
    <row r="22" spans="2:14" x14ac:dyDescent="0.25">
      <c r="B22" s="139">
        <v>10</v>
      </c>
      <c r="C22" s="791"/>
      <c r="D22" s="791"/>
      <c r="E22" s="791"/>
      <c r="F22" s="791"/>
      <c r="G22" s="791"/>
      <c r="H22" s="792"/>
      <c r="I22" s="547">
        <v>0.5</v>
      </c>
      <c r="J22" s="16"/>
      <c r="K22" s="48">
        <f t="shared" si="0"/>
        <v>0</v>
      </c>
      <c r="L22" s="17"/>
      <c r="M22" s="45">
        <f t="shared" si="2"/>
        <v>0</v>
      </c>
      <c r="N22" s="143">
        <f t="shared" si="1"/>
        <v>0</v>
      </c>
    </row>
    <row r="23" spans="2:14" x14ac:dyDescent="0.25">
      <c r="B23" s="139">
        <v>11</v>
      </c>
      <c r="C23" s="791"/>
      <c r="D23" s="791"/>
      <c r="E23" s="791"/>
      <c r="F23" s="791"/>
      <c r="G23" s="791"/>
      <c r="H23" s="792"/>
      <c r="I23" s="547">
        <v>0.5</v>
      </c>
      <c r="J23" s="16"/>
      <c r="K23" s="48">
        <f t="shared" si="0"/>
        <v>0</v>
      </c>
      <c r="L23" s="17"/>
      <c r="M23" s="45">
        <f t="shared" si="2"/>
        <v>0</v>
      </c>
      <c r="N23" s="143">
        <f t="shared" si="1"/>
        <v>0</v>
      </c>
    </row>
    <row r="24" spans="2:14" x14ac:dyDescent="0.25">
      <c r="B24" s="139">
        <v>12</v>
      </c>
      <c r="C24" s="791"/>
      <c r="D24" s="791"/>
      <c r="E24" s="791"/>
      <c r="F24" s="791"/>
      <c r="G24" s="791"/>
      <c r="H24" s="792"/>
      <c r="I24" s="547">
        <v>0.5</v>
      </c>
      <c r="J24" s="16"/>
      <c r="K24" s="48">
        <f t="shared" si="0"/>
        <v>0</v>
      </c>
      <c r="L24" s="17"/>
      <c r="M24" s="45">
        <f t="shared" si="2"/>
        <v>0</v>
      </c>
      <c r="N24" s="143">
        <f t="shared" si="1"/>
        <v>0</v>
      </c>
    </row>
    <row r="25" spans="2:14" x14ac:dyDescent="0.25">
      <c r="B25" s="139">
        <v>13</v>
      </c>
      <c r="C25" s="791"/>
      <c r="D25" s="791"/>
      <c r="E25" s="791"/>
      <c r="F25" s="791"/>
      <c r="G25" s="791"/>
      <c r="H25" s="792"/>
      <c r="I25" s="547">
        <v>0.5</v>
      </c>
      <c r="J25" s="16"/>
      <c r="K25" s="48">
        <f t="shared" si="0"/>
        <v>0</v>
      </c>
      <c r="L25" s="17"/>
      <c r="M25" s="45">
        <f t="shared" si="2"/>
        <v>0</v>
      </c>
      <c r="N25" s="143">
        <f t="shared" si="1"/>
        <v>0</v>
      </c>
    </row>
    <row r="26" spans="2:14" x14ac:dyDescent="0.25">
      <c r="B26" s="139">
        <v>14</v>
      </c>
      <c r="C26" s="791"/>
      <c r="D26" s="791"/>
      <c r="E26" s="791"/>
      <c r="F26" s="791"/>
      <c r="G26" s="791"/>
      <c r="H26" s="792"/>
      <c r="I26" s="547">
        <v>0.5</v>
      </c>
      <c r="J26" s="16"/>
      <c r="K26" s="48">
        <f t="shared" si="0"/>
        <v>0</v>
      </c>
      <c r="L26" s="17"/>
      <c r="M26" s="45">
        <f t="shared" si="2"/>
        <v>0</v>
      </c>
      <c r="N26" s="143">
        <f t="shared" si="1"/>
        <v>0</v>
      </c>
    </row>
    <row r="27" spans="2:14" x14ac:dyDescent="0.25">
      <c r="B27" s="139">
        <v>15</v>
      </c>
      <c r="C27" s="791"/>
      <c r="D27" s="791"/>
      <c r="E27" s="791"/>
      <c r="F27" s="791"/>
      <c r="G27" s="791"/>
      <c r="H27" s="792"/>
      <c r="I27" s="547">
        <v>0.5</v>
      </c>
      <c r="J27" s="16"/>
      <c r="K27" s="48">
        <f t="shared" si="0"/>
        <v>0</v>
      </c>
      <c r="L27" s="17"/>
      <c r="M27" s="45">
        <f t="shared" si="2"/>
        <v>0</v>
      </c>
      <c r="N27" s="143">
        <f t="shared" si="1"/>
        <v>0</v>
      </c>
    </row>
    <row r="28" spans="2:14" x14ac:dyDescent="0.25">
      <c r="B28" s="139">
        <v>16</v>
      </c>
      <c r="C28" s="791"/>
      <c r="D28" s="791"/>
      <c r="E28" s="791"/>
      <c r="F28" s="791"/>
      <c r="G28" s="791"/>
      <c r="H28" s="792"/>
      <c r="I28" s="547">
        <v>0.5</v>
      </c>
      <c r="J28" s="16"/>
      <c r="K28" s="48">
        <f t="shared" si="0"/>
        <v>0</v>
      </c>
      <c r="L28" s="17"/>
      <c r="M28" s="45">
        <f t="shared" si="2"/>
        <v>0</v>
      </c>
      <c r="N28" s="143">
        <f t="shared" si="1"/>
        <v>0</v>
      </c>
    </row>
    <row r="29" spans="2:14" x14ac:dyDescent="0.25">
      <c r="B29" s="139">
        <v>17</v>
      </c>
      <c r="C29" s="791"/>
      <c r="D29" s="791"/>
      <c r="E29" s="791"/>
      <c r="F29" s="791"/>
      <c r="G29" s="791"/>
      <c r="H29" s="792"/>
      <c r="I29" s="547">
        <v>0.5</v>
      </c>
      <c r="J29" s="16"/>
      <c r="K29" s="48">
        <f t="shared" si="0"/>
        <v>0</v>
      </c>
      <c r="L29" s="17"/>
      <c r="M29" s="45">
        <f t="shared" si="2"/>
        <v>0</v>
      </c>
      <c r="N29" s="143">
        <f t="shared" si="1"/>
        <v>0</v>
      </c>
    </row>
    <row r="30" spans="2:14" x14ac:dyDescent="0.25">
      <c r="B30" s="139">
        <v>18</v>
      </c>
      <c r="C30" s="791"/>
      <c r="D30" s="791"/>
      <c r="E30" s="791"/>
      <c r="F30" s="791"/>
      <c r="G30" s="791"/>
      <c r="H30" s="792"/>
      <c r="I30" s="547">
        <v>0.5</v>
      </c>
      <c r="J30" s="16"/>
      <c r="K30" s="48">
        <f t="shared" si="0"/>
        <v>0</v>
      </c>
      <c r="L30" s="17"/>
      <c r="M30" s="45">
        <f t="shared" si="2"/>
        <v>0</v>
      </c>
      <c r="N30" s="143">
        <f t="shared" si="1"/>
        <v>0</v>
      </c>
    </row>
    <row r="31" spans="2:14" x14ac:dyDescent="0.25">
      <c r="B31" s="139">
        <v>19</v>
      </c>
      <c r="C31" s="791"/>
      <c r="D31" s="791"/>
      <c r="E31" s="791"/>
      <c r="F31" s="791"/>
      <c r="G31" s="791"/>
      <c r="H31" s="792"/>
      <c r="I31" s="547">
        <v>0.5</v>
      </c>
      <c r="J31" s="16"/>
      <c r="K31" s="48">
        <f t="shared" si="0"/>
        <v>0</v>
      </c>
      <c r="L31" s="17"/>
      <c r="M31" s="45">
        <f t="shared" si="2"/>
        <v>0</v>
      </c>
      <c r="N31" s="143">
        <f t="shared" si="1"/>
        <v>0</v>
      </c>
    </row>
    <row r="32" spans="2:14" x14ac:dyDescent="0.25">
      <c r="B32" s="139">
        <v>20</v>
      </c>
      <c r="C32" s="791"/>
      <c r="D32" s="791"/>
      <c r="E32" s="791"/>
      <c r="F32" s="791"/>
      <c r="G32" s="791"/>
      <c r="H32" s="792"/>
      <c r="I32" s="547">
        <v>0.5</v>
      </c>
      <c r="J32" s="16"/>
      <c r="K32" s="48">
        <f t="shared" si="0"/>
        <v>0</v>
      </c>
      <c r="L32" s="17"/>
      <c r="M32" s="45">
        <f t="shared" si="2"/>
        <v>0</v>
      </c>
      <c r="N32" s="143">
        <f t="shared" si="1"/>
        <v>0</v>
      </c>
    </row>
    <row r="33" spans="2:14" x14ac:dyDescent="0.25">
      <c r="B33" s="139">
        <v>21</v>
      </c>
      <c r="C33" s="791"/>
      <c r="D33" s="791"/>
      <c r="E33" s="791"/>
      <c r="F33" s="791"/>
      <c r="G33" s="791"/>
      <c r="H33" s="792"/>
      <c r="I33" s="547">
        <v>0.5</v>
      </c>
      <c r="J33" s="16"/>
      <c r="K33" s="48">
        <f t="shared" si="0"/>
        <v>0</v>
      </c>
      <c r="L33" s="17"/>
      <c r="M33" s="45">
        <f t="shared" si="2"/>
        <v>0</v>
      </c>
      <c r="N33" s="143">
        <f t="shared" si="1"/>
        <v>0</v>
      </c>
    </row>
    <row r="34" spans="2:14" x14ac:dyDescent="0.25">
      <c r="B34" s="139">
        <v>22</v>
      </c>
      <c r="C34" s="791"/>
      <c r="D34" s="791"/>
      <c r="E34" s="791"/>
      <c r="F34" s="791"/>
      <c r="G34" s="791"/>
      <c r="H34" s="792"/>
      <c r="I34" s="547">
        <v>0.5</v>
      </c>
      <c r="J34" s="16"/>
      <c r="K34" s="48">
        <f t="shared" si="0"/>
        <v>0</v>
      </c>
      <c r="L34" s="17"/>
      <c r="M34" s="45">
        <f t="shared" si="2"/>
        <v>0</v>
      </c>
      <c r="N34" s="143">
        <f t="shared" si="1"/>
        <v>0</v>
      </c>
    </row>
    <row r="35" spans="2:14" x14ac:dyDescent="0.25">
      <c r="B35" s="139">
        <v>23</v>
      </c>
      <c r="C35" s="791"/>
      <c r="D35" s="791"/>
      <c r="E35" s="791"/>
      <c r="F35" s="791"/>
      <c r="G35" s="791"/>
      <c r="H35" s="792"/>
      <c r="I35" s="547">
        <v>0.5</v>
      </c>
      <c r="J35" s="16"/>
      <c r="K35" s="48">
        <f t="shared" si="0"/>
        <v>0</v>
      </c>
      <c r="L35" s="17"/>
      <c r="M35" s="45">
        <f t="shared" si="2"/>
        <v>0</v>
      </c>
      <c r="N35" s="143">
        <f t="shared" si="1"/>
        <v>0</v>
      </c>
    </row>
    <row r="36" spans="2:14" x14ac:dyDescent="0.25">
      <c r="B36" s="139">
        <v>24</v>
      </c>
      <c r="C36" s="791"/>
      <c r="D36" s="791"/>
      <c r="E36" s="791"/>
      <c r="F36" s="791"/>
      <c r="G36" s="791"/>
      <c r="H36" s="792"/>
      <c r="I36" s="547">
        <v>0.5</v>
      </c>
      <c r="J36" s="16"/>
      <c r="K36" s="48">
        <f t="shared" si="0"/>
        <v>0</v>
      </c>
      <c r="L36" s="17"/>
      <c r="M36" s="45">
        <f t="shared" si="2"/>
        <v>0</v>
      </c>
      <c r="N36" s="143">
        <f t="shared" si="1"/>
        <v>0</v>
      </c>
    </row>
    <row r="37" spans="2:14" x14ac:dyDescent="0.25">
      <c r="B37" s="139">
        <v>25</v>
      </c>
      <c r="C37" s="791"/>
      <c r="D37" s="791"/>
      <c r="E37" s="791"/>
      <c r="F37" s="791"/>
      <c r="G37" s="791"/>
      <c r="H37" s="792"/>
      <c r="I37" s="547">
        <v>0.5</v>
      </c>
      <c r="J37" s="16"/>
      <c r="K37" s="48">
        <f t="shared" si="0"/>
        <v>0</v>
      </c>
      <c r="L37" s="17"/>
      <c r="M37" s="45">
        <f t="shared" si="2"/>
        <v>0</v>
      </c>
      <c r="N37" s="143">
        <f t="shared" si="1"/>
        <v>0</v>
      </c>
    </row>
    <row r="38" spans="2:14" x14ac:dyDescent="0.25">
      <c r="B38" s="139">
        <v>26</v>
      </c>
      <c r="C38" s="791"/>
      <c r="D38" s="791"/>
      <c r="E38" s="791"/>
      <c r="F38" s="791"/>
      <c r="G38" s="791"/>
      <c r="H38" s="792"/>
      <c r="I38" s="547">
        <v>0.5</v>
      </c>
      <c r="J38" s="16"/>
      <c r="K38" s="48">
        <f t="shared" si="0"/>
        <v>0</v>
      </c>
      <c r="L38" s="17"/>
      <c r="M38" s="45">
        <f t="shared" si="2"/>
        <v>0</v>
      </c>
      <c r="N38" s="143">
        <f t="shared" si="1"/>
        <v>0</v>
      </c>
    </row>
    <row r="39" spans="2:14" x14ac:dyDescent="0.25">
      <c r="B39" s="139">
        <v>27</v>
      </c>
      <c r="C39" s="791"/>
      <c r="D39" s="791"/>
      <c r="E39" s="791"/>
      <c r="F39" s="791"/>
      <c r="G39" s="791"/>
      <c r="H39" s="792"/>
      <c r="I39" s="547">
        <v>0.5</v>
      </c>
      <c r="J39" s="16"/>
      <c r="K39" s="48">
        <f t="shared" si="0"/>
        <v>0</v>
      </c>
      <c r="L39" s="17"/>
      <c r="M39" s="45">
        <f t="shared" si="2"/>
        <v>0</v>
      </c>
      <c r="N39" s="143">
        <f t="shared" si="1"/>
        <v>0</v>
      </c>
    </row>
    <row r="40" spans="2:14" x14ac:dyDescent="0.25">
      <c r="B40" s="139">
        <v>28</v>
      </c>
      <c r="C40" s="791"/>
      <c r="D40" s="791"/>
      <c r="E40" s="791"/>
      <c r="F40" s="791"/>
      <c r="G40" s="791"/>
      <c r="H40" s="792"/>
      <c r="I40" s="547">
        <v>0.5</v>
      </c>
      <c r="J40" s="16"/>
      <c r="K40" s="48">
        <f t="shared" si="0"/>
        <v>0</v>
      </c>
      <c r="L40" s="17"/>
      <c r="M40" s="45">
        <f t="shared" si="2"/>
        <v>0</v>
      </c>
      <c r="N40" s="143">
        <f t="shared" si="1"/>
        <v>0</v>
      </c>
    </row>
    <row r="41" spans="2:14" x14ac:dyDescent="0.25">
      <c r="B41" s="139">
        <v>29</v>
      </c>
      <c r="C41" s="791"/>
      <c r="D41" s="791"/>
      <c r="E41" s="791"/>
      <c r="F41" s="791"/>
      <c r="G41" s="791"/>
      <c r="H41" s="792"/>
      <c r="I41" s="547">
        <v>0.5</v>
      </c>
      <c r="J41" s="16"/>
      <c r="K41" s="48">
        <f t="shared" si="0"/>
        <v>0</v>
      </c>
      <c r="L41" s="17"/>
      <c r="M41" s="45">
        <f t="shared" si="2"/>
        <v>0</v>
      </c>
      <c r="N41" s="143">
        <f t="shared" si="1"/>
        <v>0</v>
      </c>
    </row>
    <row r="42" spans="2:14" x14ac:dyDescent="0.25">
      <c r="B42" s="139">
        <v>30</v>
      </c>
      <c r="C42" s="791"/>
      <c r="D42" s="791"/>
      <c r="E42" s="791"/>
      <c r="F42" s="791"/>
      <c r="G42" s="791"/>
      <c r="H42" s="792"/>
      <c r="I42" s="547">
        <v>0.5</v>
      </c>
      <c r="J42" s="16"/>
      <c r="K42" s="48">
        <f t="shared" si="0"/>
        <v>0</v>
      </c>
      <c r="L42" s="17"/>
      <c r="M42" s="45">
        <f t="shared" si="2"/>
        <v>0</v>
      </c>
      <c r="N42" s="143">
        <f t="shared" si="1"/>
        <v>0</v>
      </c>
    </row>
    <row r="43" spans="2:14" x14ac:dyDescent="0.25">
      <c r="B43" s="144"/>
      <c r="C43" s="793" t="s">
        <v>3988</v>
      </c>
      <c r="D43" s="793"/>
      <c r="E43" s="793"/>
      <c r="F43" s="793"/>
      <c r="G43" s="793"/>
      <c r="H43" s="793"/>
      <c r="I43" s="793"/>
      <c r="J43" s="793"/>
      <c r="K43" s="793"/>
      <c r="L43" s="794"/>
      <c r="M43" s="145">
        <f>SUM(M11:M42)</f>
        <v>0</v>
      </c>
      <c r="N43" s="145">
        <f>SUM(N11:N42)</f>
        <v>0</v>
      </c>
    </row>
    <row r="44" spans="2:14" x14ac:dyDescent="0.25">
      <c r="B44" s="805" t="s">
        <v>3989</v>
      </c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797" t="s">
        <v>3909</v>
      </c>
      <c r="N44" s="797"/>
    </row>
    <row r="45" spans="2:14" x14ac:dyDescent="0.25">
      <c r="B45" s="798" t="s">
        <v>3979</v>
      </c>
      <c r="C45" s="799"/>
      <c r="D45" s="799"/>
      <c r="E45" s="799"/>
      <c r="F45" s="799"/>
      <c r="G45" s="799"/>
      <c r="H45" s="799"/>
      <c r="I45" s="799"/>
      <c r="J45" s="800"/>
      <c r="K45" s="136" t="s">
        <v>3980</v>
      </c>
      <c r="L45" s="136" t="s">
        <v>3981</v>
      </c>
      <c r="M45" s="136" t="s">
        <v>3982</v>
      </c>
      <c r="N45" s="138" t="s">
        <v>3794</v>
      </c>
    </row>
    <row r="46" spans="2:14" x14ac:dyDescent="0.25">
      <c r="B46" s="801" t="s">
        <v>3990</v>
      </c>
      <c r="C46" s="802"/>
      <c r="D46" s="802"/>
      <c r="E46" s="802"/>
      <c r="F46" s="802"/>
      <c r="G46" s="802"/>
      <c r="H46" s="802"/>
      <c r="I46" s="802"/>
      <c r="J46" s="803"/>
      <c r="K46" s="490"/>
      <c r="L46" s="17"/>
      <c r="M46" s="45">
        <f>N46</f>
        <v>0</v>
      </c>
      <c r="N46" s="143">
        <f>K46*L46</f>
        <v>0</v>
      </c>
    </row>
    <row r="47" spans="2:14" x14ac:dyDescent="0.25">
      <c r="B47" s="798" t="s">
        <v>3984</v>
      </c>
      <c r="C47" s="799"/>
      <c r="D47" s="799"/>
      <c r="E47" s="799"/>
      <c r="F47" s="799"/>
      <c r="G47" s="799"/>
      <c r="H47" s="800"/>
      <c r="I47" s="532" t="s">
        <v>3985</v>
      </c>
      <c r="J47" s="136" t="s">
        <v>3986</v>
      </c>
      <c r="K47" s="136" t="s">
        <v>3987</v>
      </c>
      <c r="L47" s="136" t="s">
        <v>3981</v>
      </c>
      <c r="M47" s="136" t="s">
        <v>3982</v>
      </c>
      <c r="N47" s="138" t="s">
        <v>3794</v>
      </c>
    </row>
    <row r="48" spans="2:14" x14ac:dyDescent="0.25">
      <c r="B48" s="139">
        <v>1</v>
      </c>
      <c r="C48" s="791"/>
      <c r="D48" s="791"/>
      <c r="E48" s="791"/>
      <c r="F48" s="791"/>
      <c r="G48" s="791"/>
      <c r="H48" s="792"/>
      <c r="I48" s="547">
        <v>0.5</v>
      </c>
      <c r="J48" s="16"/>
      <c r="K48" s="48">
        <f t="shared" ref="K48:K77" si="3">IF(OR(I48=0,J48=0),0,IF((((($L$6^2*I48^2)/$H$6^2)*J48)/((($L$6^2*I48^2)/$H$6^2)+J48))&lt;(($L$6^2*I48^2)/$H$6^2),ROUND((((($L$6^2*I48^2)/$H$6^2)*J48)/((($L$6^2*I48^2)/$H$6^2)+J48)),0),ROUND((($L$6^2*I48^2)/$H$6^2),0)))</f>
        <v>0</v>
      </c>
      <c r="L48" s="17"/>
      <c r="M48" s="45">
        <f>N48</f>
        <v>0</v>
      </c>
      <c r="N48" s="143">
        <f t="shared" ref="N48:N77" si="4">K48*L48</f>
        <v>0</v>
      </c>
    </row>
    <row r="49" spans="2:14" x14ac:dyDescent="0.25">
      <c r="B49" s="139">
        <v>2</v>
      </c>
      <c r="C49" s="791"/>
      <c r="D49" s="791"/>
      <c r="E49" s="791"/>
      <c r="F49" s="791"/>
      <c r="G49" s="791"/>
      <c r="H49" s="792"/>
      <c r="I49" s="547">
        <v>0.5</v>
      </c>
      <c r="J49" s="16"/>
      <c r="K49" s="48">
        <f t="shared" si="3"/>
        <v>0</v>
      </c>
      <c r="L49" s="17"/>
      <c r="M49" s="45">
        <f t="shared" ref="M49:M77" si="5">N49</f>
        <v>0</v>
      </c>
      <c r="N49" s="143">
        <f t="shared" si="4"/>
        <v>0</v>
      </c>
    </row>
    <row r="50" spans="2:14" x14ac:dyDescent="0.25">
      <c r="B50" s="139">
        <v>3</v>
      </c>
      <c r="C50" s="791"/>
      <c r="D50" s="791"/>
      <c r="E50" s="791"/>
      <c r="F50" s="791"/>
      <c r="G50" s="791"/>
      <c r="H50" s="792"/>
      <c r="I50" s="547">
        <v>0.5</v>
      </c>
      <c r="J50" s="16"/>
      <c r="K50" s="48">
        <f t="shared" si="3"/>
        <v>0</v>
      </c>
      <c r="L50" s="17"/>
      <c r="M50" s="45">
        <f>N50</f>
        <v>0</v>
      </c>
      <c r="N50" s="143">
        <f t="shared" si="4"/>
        <v>0</v>
      </c>
    </row>
    <row r="51" spans="2:14" x14ac:dyDescent="0.25">
      <c r="B51" s="139">
        <v>4</v>
      </c>
      <c r="C51" s="791"/>
      <c r="D51" s="791"/>
      <c r="E51" s="791"/>
      <c r="F51" s="791"/>
      <c r="G51" s="791"/>
      <c r="H51" s="792"/>
      <c r="I51" s="547">
        <v>0.5</v>
      </c>
      <c r="J51" s="16"/>
      <c r="K51" s="48">
        <f t="shared" si="3"/>
        <v>0</v>
      </c>
      <c r="L51" s="17"/>
      <c r="M51" s="45">
        <f t="shared" si="5"/>
        <v>0</v>
      </c>
      <c r="N51" s="143">
        <f t="shared" si="4"/>
        <v>0</v>
      </c>
    </row>
    <row r="52" spans="2:14" x14ac:dyDescent="0.25">
      <c r="B52" s="139">
        <v>5</v>
      </c>
      <c r="C52" s="791"/>
      <c r="D52" s="791"/>
      <c r="E52" s="791"/>
      <c r="F52" s="791"/>
      <c r="G52" s="791"/>
      <c r="H52" s="792"/>
      <c r="I52" s="547">
        <v>0.5</v>
      </c>
      <c r="J52" s="16"/>
      <c r="K52" s="48">
        <f t="shared" si="3"/>
        <v>0</v>
      </c>
      <c r="L52" s="17"/>
      <c r="M52" s="45">
        <f t="shared" si="5"/>
        <v>0</v>
      </c>
      <c r="N52" s="143">
        <f t="shared" si="4"/>
        <v>0</v>
      </c>
    </row>
    <row r="53" spans="2:14" x14ac:dyDescent="0.25">
      <c r="B53" s="139">
        <v>6</v>
      </c>
      <c r="C53" s="791"/>
      <c r="D53" s="791"/>
      <c r="E53" s="791"/>
      <c r="F53" s="791"/>
      <c r="G53" s="791"/>
      <c r="H53" s="792"/>
      <c r="I53" s="547">
        <v>0.5</v>
      </c>
      <c r="J53" s="16"/>
      <c r="K53" s="48">
        <f t="shared" si="3"/>
        <v>0</v>
      </c>
      <c r="L53" s="17"/>
      <c r="M53" s="45">
        <f t="shared" si="5"/>
        <v>0</v>
      </c>
      <c r="N53" s="143">
        <f t="shared" si="4"/>
        <v>0</v>
      </c>
    </row>
    <row r="54" spans="2:14" x14ac:dyDescent="0.25">
      <c r="B54" s="139">
        <v>7</v>
      </c>
      <c r="C54" s="791"/>
      <c r="D54" s="791"/>
      <c r="E54" s="791"/>
      <c r="F54" s="791"/>
      <c r="G54" s="791"/>
      <c r="H54" s="792"/>
      <c r="I54" s="547">
        <v>0.5</v>
      </c>
      <c r="J54" s="16"/>
      <c r="K54" s="48">
        <f t="shared" si="3"/>
        <v>0</v>
      </c>
      <c r="L54" s="17"/>
      <c r="M54" s="45">
        <f t="shared" si="5"/>
        <v>0</v>
      </c>
      <c r="N54" s="143">
        <f t="shared" si="4"/>
        <v>0</v>
      </c>
    </row>
    <row r="55" spans="2:14" x14ac:dyDescent="0.25">
      <c r="B55" s="139">
        <v>8</v>
      </c>
      <c r="C55" s="791"/>
      <c r="D55" s="791"/>
      <c r="E55" s="791"/>
      <c r="F55" s="791"/>
      <c r="G55" s="791"/>
      <c r="H55" s="792"/>
      <c r="I55" s="547">
        <v>0.5</v>
      </c>
      <c r="J55" s="16"/>
      <c r="K55" s="48">
        <f t="shared" si="3"/>
        <v>0</v>
      </c>
      <c r="L55" s="17"/>
      <c r="M55" s="45">
        <f t="shared" si="5"/>
        <v>0</v>
      </c>
      <c r="N55" s="143">
        <f t="shared" si="4"/>
        <v>0</v>
      </c>
    </row>
    <row r="56" spans="2:14" x14ac:dyDescent="0.25">
      <c r="B56" s="139">
        <v>9</v>
      </c>
      <c r="C56" s="791"/>
      <c r="D56" s="791"/>
      <c r="E56" s="791"/>
      <c r="F56" s="791"/>
      <c r="G56" s="791"/>
      <c r="H56" s="792"/>
      <c r="I56" s="547">
        <v>0.5</v>
      </c>
      <c r="J56" s="16"/>
      <c r="K56" s="48">
        <f t="shared" si="3"/>
        <v>0</v>
      </c>
      <c r="L56" s="17"/>
      <c r="M56" s="45">
        <f t="shared" si="5"/>
        <v>0</v>
      </c>
      <c r="N56" s="143">
        <f t="shared" si="4"/>
        <v>0</v>
      </c>
    </row>
    <row r="57" spans="2:14" x14ac:dyDescent="0.25">
      <c r="B57" s="139">
        <v>10</v>
      </c>
      <c r="C57" s="791"/>
      <c r="D57" s="791"/>
      <c r="E57" s="791"/>
      <c r="F57" s="791"/>
      <c r="G57" s="791"/>
      <c r="H57" s="792"/>
      <c r="I57" s="547">
        <v>0.5</v>
      </c>
      <c r="J57" s="16"/>
      <c r="K57" s="48">
        <f t="shared" si="3"/>
        <v>0</v>
      </c>
      <c r="L57" s="17"/>
      <c r="M57" s="45">
        <f t="shared" si="5"/>
        <v>0</v>
      </c>
      <c r="N57" s="143">
        <f t="shared" si="4"/>
        <v>0</v>
      </c>
    </row>
    <row r="58" spans="2:14" x14ac:dyDescent="0.25">
      <c r="B58" s="139">
        <v>11</v>
      </c>
      <c r="C58" s="791"/>
      <c r="D58" s="791"/>
      <c r="E58" s="791"/>
      <c r="F58" s="791"/>
      <c r="G58" s="791"/>
      <c r="H58" s="792"/>
      <c r="I58" s="547">
        <v>0.5</v>
      </c>
      <c r="J58" s="16"/>
      <c r="K58" s="48">
        <f t="shared" si="3"/>
        <v>0</v>
      </c>
      <c r="L58" s="17"/>
      <c r="M58" s="45">
        <f t="shared" si="5"/>
        <v>0</v>
      </c>
      <c r="N58" s="143">
        <f t="shared" si="4"/>
        <v>0</v>
      </c>
    </row>
    <row r="59" spans="2:14" x14ac:dyDescent="0.25">
      <c r="B59" s="139">
        <v>12</v>
      </c>
      <c r="C59" s="791"/>
      <c r="D59" s="791"/>
      <c r="E59" s="791"/>
      <c r="F59" s="791"/>
      <c r="G59" s="791"/>
      <c r="H59" s="792"/>
      <c r="I59" s="547">
        <v>0.5</v>
      </c>
      <c r="J59" s="16"/>
      <c r="K59" s="48">
        <f t="shared" si="3"/>
        <v>0</v>
      </c>
      <c r="L59" s="17"/>
      <c r="M59" s="45">
        <f t="shared" si="5"/>
        <v>0</v>
      </c>
      <c r="N59" s="143">
        <f t="shared" si="4"/>
        <v>0</v>
      </c>
    </row>
    <row r="60" spans="2:14" x14ac:dyDescent="0.25">
      <c r="B60" s="139">
        <v>13</v>
      </c>
      <c r="C60" s="791"/>
      <c r="D60" s="791"/>
      <c r="E60" s="791"/>
      <c r="F60" s="791"/>
      <c r="G60" s="791"/>
      <c r="H60" s="792"/>
      <c r="I60" s="547">
        <v>0.5</v>
      </c>
      <c r="J60" s="16"/>
      <c r="K60" s="48">
        <f t="shared" si="3"/>
        <v>0</v>
      </c>
      <c r="L60" s="17"/>
      <c r="M60" s="45">
        <f t="shared" si="5"/>
        <v>0</v>
      </c>
      <c r="N60" s="143">
        <f t="shared" si="4"/>
        <v>0</v>
      </c>
    </row>
    <row r="61" spans="2:14" x14ac:dyDescent="0.25">
      <c r="B61" s="139">
        <v>14</v>
      </c>
      <c r="C61" s="791"/>
      <c r="D61" s="791"/>
      <c r="E61" s="791"/>
      <c r="F61" s="791"/>
      <c r="G61" s="791"/>
      <c r="H61" s="792"/>
      <c r="I61" s="547">
        <v>0.5</v>
      </c>
      <c r="J61" s="16"/>
      <c r="K61" s="48">
        <f t="shared" si="3"/>
        <v>0</v>
      </c>
      <c r="L61" s="17"/>
      <c r="M61" s="45">
        <f t="shared" si="5"/>
        <v>0</v>
      </c>
      <c r="N61" s="143">
        <f t="shared" si="4"/>
        <v>0</v>
      </c>
    </row>
    <row r="62" spans="2:14" x14ac:dyDescent="0.25">
      <c r="B62" s="139">
        <v>15</v>
      </c>
      <c r="C62" s="791"/>
      <c r="D62" s="791"/>
      <c r="E62" s="791"/>
      <c r="F62" s="791"/>
      <c r="G62" s="791"/>
      <c r="H62" s="792"/>
      <c r="I62" s="547">
        <v>0.5</v>
      </c>
      <c r="J62" s="16"/>
      <c r="K62" s="48">
        <f t="shared" si="3"/>
        <v>0</v>
      </c>
      <c r="L62" s="17"/>
      <c r="M62" s="45">
        <f t="shared" si="5"/>
        <v>0</v>
      </c>
      <c r="N62" s="143">
        <f t="shared" si="4"/>
        <v>0</v>
      </c>
    </row>
    <row r="63" spans="2:14" x14ac:dyDescent="0.25">
      <c r="B63" s="139">
        <v>16</v>
      </c>
      <c r="C63" s="791"/>
      <c r="D63" s="791"/>
      <c r="E63" s="791"/>
      <c r="F63" s="791"/>
      <c r="G63" s="791"/>
      <c r="H63" s="792"/>
      <c r="I63" s="547">
        <v>0.5</v>
      </c>
      <c r="J63" s="16"/>
      <c r="K63" s="48">
        <f t="shared" si="3"/>
        <v>0</v>
      </c>
      <c r="L63" s="17"/>
      <c r="M63" s="45">
        <f t="shared" si="5"/>
        <v>0</v>
      </c>
      <c r="N63" s="143">
        <f t="shared" si="4"/>
        <v>0</v>
      </c>
    </row>
    <row r="64" spans="2:14" x14ac:dyDescent="0.25">
      <c r="B64" s="139">
        <v>17</v>
      </c>
      <c r="C64" s="791"/>
      <c r="D64" s="791"/>
      <c r="E64" s="791"/>
      <c r="F64" s="791"/>
      <c r="G64" s="791"/>
      <c r="H64" s="792"/>
      <c r="I64" s="547">
        <v>0.5</v>
      </c>
      <c r="J64" s="16"/>
      <c r="K64" s="48">
        <f t="shared" si="3"/>
        <v>0</v>
      </c>
      <c r="L64" s="17"/>
      <c r="M64" s="45">
        <f t="shared" si="5"/>
        <v>0</v>
      </c>
      <c r="N64" s="143">
        <f t="shared" si="4"/>
        <v>0</v>
      </c>
    </row>
    <row r="65" spans="2:14" x14ac:dyDescent="0.25">
      <c r="B65" s="139">
        <v>18</v>
      </c>
      <c r="C65" s="791"/>
      <c r="D65" s="791"/>
      <c r="E65" s="791"/>
      <c r="F65" s="791"/>
      <c r="G65" s="791"/>
      <c r="H65" s="792"/>
      <c r="I65" s="547">
        <v>0.5</v>
      </c>
      <c r="J65" s="16"/>
      <c r="K65" s="48">
        <f t="shared" si="3"/>
        <v>0</v>
      </c>
      <c r="L65" s="17"/>
      <c r="M65" s="45">
        <f t="shared" si="5"/>
        <v>0</v>
      </c>
      <c r="N65" s="143">
        <f t="shared" si="4"/>
        <v>0</v>
      </c>
    </row>
    <row r="66" spans="2:14" x14ac:dyDescent="0.25">
      <c r="B66" s="139">
        <v>19</v>
      </c>
      <c r="C66" s="791"/>
      <c r="D66" s="791"/>
      <c r="E66" s="791"/>
      <c r="F66" s="791"/>
      <c r="G66" s="791"/>
      <c r="H66" s="792"/>
      <c r="I66" s="547">
        <v>0.5</v>
      </c>
      <c r="J66" s="16"/>
      <c r="K66" s="48">
        <f t="shared" si="3"/>
        <v>0</v>
      </c>
      <c r="L66" s="17"/>
      <c r="M66" s="45">
        <f t="shared" si="5"/>
        <v>0</v>
      </c>
      <c r="N66" s="143">
        <f t="shared" si="4"/>
        <v>0</v>
      </c>
    </row>
    <row r="67" spans="2:14" x14ac:dyDescent="0.25">
      <c r="B67" s="139">
        <v>20</v>
      </c>
      <c r="C67" s="791"/>
      <c r="D67" s="791"/>
      <c r="E67" s="791"/>
      <c r="F67" s="791"/>
      <c r="G67" s="791"/>
      <c r="H67" s="792"/>
      <c r="I67" s="547">
        <v>0.5</v>
      </c>
      <c r="J67" s="16"/>
      <c r="K67" s="48">
        <f t="shared" si="3"/>
        <v>0</v>
      </c>
      <c r="L67" s="17"/>
      <c r="M67" s="45">
        <f t="shared" si="5"/>
        <v>0</v>
      </c>
      <c r="N67" s="143">
        <f t="shared" si="4"/>
        <v>0</v>
      </c>
    </row>
    <row r="68" spans="2:14" x14ac:dyDescent="0.25">
      <c r="B68" s="139">
        <v>21</v>
      </c>
      <c r="C68" s="791"/>
      <c r="D68" s="791"/>
      <c r="E68" s="791"/>
      <c r="F68" s="791"/>
      <c r="G68" s="791"/>
      <c r="H68" s="792"/>
      <c r="I68" s="547">
        <v>0.5</v>
      </c>
      <c r="J68" s="16"/>
      <c r="K68" s="48">
        <f t="shared" si="3"/>
        <v>0</v>
      </c>
      <c r="L68" s="17"/>
      <c r="M68" s="45">
        <f t="shared" si="5"/>
        <v>0</v>
      </c>
      <c r="N68" s="143">
        <f t="shared" si="4"/>
        <v>0</v>
      </c>
    </row>
    <row r="69" spans="2:14" x14ac:dyDescent="0.25">
      <c r="B69" s="139">
        <v>22</v>
      </c>
      <c r="C69" s="791"/>
      <c r="D69" s="791"/>
      <c r="E69" s="791"/>
      <c r="F69" s="791"/>
      <c r="G69" s="791"/>
      <c r="H69" s="792"/>
      <c r="I69" s="547">
        <v>0.5</v>
      </c>
      <c r="J69" s="16"/>
      <c r="K69" s="48">
        <f t="shared" si="3"/>
        <v>0</v>
      </c>
      <c r="L69" s="17"/>
      <c r="M69" s="45">
        <f t="shared" si="5"/>
        <v>0</v>
      </c>
      <c r="N69" s="143">
        <f t="shared" si="4"/>
        <v>0</v>
      </c>
    </row>
    <row r="70" spans="2:14" x14ac:dyDescent="0.25">
      <c r="B70" s="139">
        <v>23</v>
      </c>
      <c r="C70" s="791"/>
      <c r="D70" s="791"/>
      <c r="E70" s="791"/>
      <c r="F70" s="791"/>
      <c r="G70" s="791"/>
      <c r="H70" s="792"/>
      <c r="I70" s="547">
        <v>0.5</v>
      </c>
      <c r="J70" s="16"/>
      <c r="K70" s="48">
        <f t="shared" si="3"/>
        <v>0</v>
      </c>
      <c r="L70" s="17"/>
      <c r="M70" s="45">
        <f t="shared" si="5"/>
        <v>0</v>
      </c>
      <c r="N70" s="143">
        <f t="shared" si="4"/>
        <v>0</v>
      </c>
    </row>
    <row r="71" spans="2:14" x14ac:dyDescent="0.25">
      <c r="B71" s="139">
        <v>24</v>
      </c>
      <c r="C71" s="791"/>
      <c r="D71" s="791"/>
      <c r="E71" s="791"/>
      <c r="F71" s="791"/>
      <c r="G71" s="791"/>
      <c r="H71" s="792"/>
      <c r="I71" s="547">
        <v>0.5</v>
      </c>
      <c r="J71" s="16"/>
      <c r="K71" s="48">
        <f t="shared" si="3"/>
        <v>0</v>
      </c>
      <c r="L71" s="17"/>
      <c r="M71" s="45">
        <f t="shared" si="5"/>
        <v>0</v>
      </c>
      <c r="N71" s="143">
        <f t="shared" si="4"/>
        <v>0</v>
      </c>
    </row>
    <row r="72" spans="2:14" x14ac:dyDescent="0.25">
      <c r="B72" s="139">
        <v>25</v>
      </c>
      <c r="C72" s="791"/>
      <c r="D72" s="791"/>
      <c r="E72" s="791"/>
      <c r="F72" s="791"/>
      <c r="G72" s="791"/>
      <c r="H72" s="792"/>
      <c r="I72" s="547">
        <v>0.5</v>
      </c>
      <c r="J72" s="16"/>
      <c r="K72" s="48">
        <f t="shared" si="3"/>
        <v>0</v>
      </c>
      <c r="L72" s="17"/>
      <c r="M72" s="45">
        <f t="shared" si="5"/>
        <v>0</v>
      </c>
      <c r="N72" s="143">
        <f t="shared" si="4"/>
        <v>0</v>
      </c>
    </row>
    <row r="73" spans="2:14" x14ac:dyDescent="0.25">
      <c r="B73" s="139">
        <v>26</v>
      </c>
      <c r="C73" s="791"/>
      <c r="D73" s="791"/>
      <c r="E73" s="791"/>
      <c r="F73" s="791"/>
      <c r="G73" s="791"/>
      <c r="H73" s="792"/>
      <c r="I73" s="547">
        <v>0.5</v>
      </c>
      <c r="J73" s="16"/>
      <c r="K73" s="48">
        <f t="shared" si="3"/>
        <v>0</v>
      </c>
      <c r="L73" s="17"/>
      <c r="M73" s="45">
        <f t="shared" si="5"/>
        <v>0</v>
      </c>
      <c r="N73" s="143">
        <f t="shared" si="4"/>
        <v>0</v>
      </c>
    </row>
    <row r="74" spans="2:14" x14ac:dyDescent="0.25">
      <c r="B74" s="139">
        <v>27</v>
      </c>
      <c r="C74" s="791"/>
      <c r="D74" s="791"/>
      <c r="E74" s="791"/>
      <c r="F74" s="791"/>
      <c r="G74" s="791"/>
      <c r="H74" s="792"/>
      <c r="I74" s="547">
        <v>0.5</v>
      </c>
      <c r="J74" s="16"/>
      <c r="K74" s="48">
        <f t="shared" si="3"/>
        <v>0</v>
      </c>
      <c r="L74" s="17"/>
      <c r="M74" s="45">
        <f t="shared" si="5"/>
        <v>0</v>
      </c>
      <c r="N74" s="143">
        <f t="shared" si="4"/>
        <v>0</v>
      </c>
    </row>
    <row r="75" spans="2:14" x14ac:dyDescent="0.25">
      <c r="B75" s="139">
        <v>28</v>
      </c>
      <c r="C75" s="791"/>
      <c r="D75" s="791"/>
      <c r="E75" s="791"/>
      <c r="F75" s="791"/>
      <c r="G75" s="791"/>
      <c r="H75" s="792"/>
      <c r="I75" s="547">
        <v>0.5</v>
      </c>
      <c r="J75" s="16"/>
      <c r="K75" s="48">
        <f t="shared" si="3"/>
        <v>0</v>
      </c>
      <c r="L75" s="17"/>
      <c r="M75" s="45">
        <f t="shared" si="5"/>
        <v>0</v>
      </c>
      <c r="N75" s="143">
        <f t="shared" si="4"/>
        <v>0</v>
      </c>
    </row>
    <row r="76" spans="2:14" x14ac:dyDescent="0.25">
      <c r="B76" s="139">
        <v>29</v>
      </c>
      <c r="C76" s="791"/>
      <c r="D76" s="791"/>
      <c r="E76" s="791"/>
      <c r="F76" s="791"/>
      <c r="G76" s="791"/>
      <c r="H76" s="792"/>
      <c r="I76" s="547">
        <v>0.5</v>
      </c>
      <c r="J76" s="16"/>
      <c r="K76" s="48">
        <f t="shared" si="3"/>
        <v>0</v>
      </c>
      <c r="L76" s="17"/>
      <c r="M76" s="45">
        <f t="shared" si="5"/>
        <v>0</v>
      </c>
      <c r="N76" s="143">
        <f t="shared" si="4"/>
        <v>0</v>
      </c>
    </row>
    <row r="77" spans="2:14" x14ac:dyDescent="0.25">
      <c r="B77" s="139">
        <v>30</v>
      </c>
      <c r="C77" s="791"/>
      <c r="D77" s="791"/>
      <c r="E77" s="791"/>
      <c r="F77" s="791"/>
      <c r="G77" s="791"/>
      <c r="H77" s="792"/>
      <c r="I77" s="547">
        <v>0.5</v>
      </c>
      <c r="J77" s="16"/>
      <c r="K77" s="48">
        <f t="shared" si="3"/>
        <v>0</v>
      </c>
      <c r="L77" s="17"/>
      <c r="M77" s="45">
        <f t="shared" si="5"/>
        <v>0</v>
      </c>
      <c r="N77" s="143">
        <f t="shared" si="4"/>
        <v>0</v>
      </c>
    </row>
    <row r="78" spans="2:14" x14ac:dyDescent="0.25">
      <c r="B78" s="144"/>
      <c r="C78" s="793" t="s">
        <v>3991</v>
      </c>
      <c r="D78" s="793"/>
      <c r="E78" s="793"/>
      <c r="F78" s="793"/>
      <c r="G78" s="793"/>
      <c r="H78" s="793"/>
      <c r="I78" s="793"/>
      <c r="J78" s="793"/>
      <c r="K78" s="793"/>
      <c r="L78" s="794"/>
      <c r="M78" s="45">
        <f>N78</f>
        <v>0</v>
      </c>
      <c r="N78" s="145">
        <f>SUM(N46:N77)</f>
        <v>0</v>
      </c>
    </row>
    <row r="79" spans="2:14" x14ac:dyDescent="0.25">
      <c r="B79" s="146"/>
      <c r="C79" s="795" t="s">
        <v>3992</v>
      </c>
      <c r="D79" s="795"/>
      <c r="E79" s="795"/>
      <c r="F79" s="795"/>
      <c r="G79" s="795"/>
      <c r="H79" s="795"/>
      <c r="I79" s="795"/>
      <c r="J79" s="795"/>
      <c r="K79" s="795"/>
      <c r="L79" s="796"/>
      <c r="M79" s="45">
        <f>SUM(M43,M78)</f>
        <v>0</v>
      </c>
      <c r="N79" s="148">
        <f>SUM(N43,N78)</f>
        <v>0</v>
      </c>
    </row>
    <row r="80" spans="2:14" x14ac:dyDescent="0.25">
      <c r="B80" s="734" t="s">
        <v>3993</v>
      </c>
      <c r="C80" s="735"/>
      <c r="D80" s="735"/>
      <c r="E80" s="735"/>
      <c r="F80" s="735"/>
      <c r="G80" s="735"/>
      <c r="H80" s="735"/>
      <c r="I80" s="735"/>
      <c r="J80" s="735"/>
      <c r="K80" s="735"/>
      <c r="L80" s="735"/>
      <c r="M80" s="735"/>
      <c r="N80" s="736"/>
    </row>
    <row r="81" spans="2:14" x14ac:dyDescent="0.25">
      <c r="B81" s="805" t="s">
        <v>3978</v>
      </c>
      <c r="C81" s="805"/>
      <c r="D81" s="805"/>
      <c r="E81" s="805"/>
      <c r="F81" s="805"/>
      <c r="G81" s="805"/>
      <c r="H81" s="805"/>
      <c r="I81" s="805"/>
      <c r="J81" s="805"/>
      <c r="K81" s="805"/>
      <c r="L81" s="805"/>
      <c r="M81" s="797" t="s">
        <v>3909</v>
      </c>
      <c r="N81" s="797"/>
    </row>
    <row r="82" spans="2:14" x14ac:dyDescent="0.25">
      <c r="B82" s="798" t="s">
        <v>3979</v>
      </c>
      <c r="C82" s="799"/>
      <c r="D82" s="799"/>
      <c r="E82" s="799"/>
      <c r="F82" s="799"/>
      <c r="G82" s="799"/>
      <c r="H82" s="799"/>
      <c r="I82" s="799"/>
      <c r="J82" s="800"/>
      <c r="K82" s="136" t="s">
        <v>3980</v>
      </c>
      <c r="L82" s="136" t="s">
        <v>3981</v>
      </c>
      <c r="M82" s="136" t="s">
        <v>3982</v>
      </c>
      <c r="N82" s="138" t="s">
        <v>3794</v>
      </c>
    </row>
    <row r="83" spans="2:14" x14ac:dyDescent="0.25">
      <c r="B83" s="806" t="s">
        <v>3994</v>
      </c>
      <c r="C83" s="807"/>
      <c r="D83" s="807"/>
      <c r="E83" s="807"/>
      <c r="F83" s="807"/>
      <c r="G83" s="807"/>
      <c r="H83" s="807"/>
      <c r="I83" s="807"/>
      <c r="J83" s="808"/>
      <c r="K83" s="490"/>
      <c r="L83" s="17"/>
      <c r="M83" s="45">
        <f>N83</f>
        <v>0</v>
      </c>
      <c r="N83" s="143">
        <f>K83*L83</f>
        <v>0</v>
      </c>
    </row>
    <row r="84" spans="2:14" x14ac:dyDescent="0.25">
      <c r="B84" s="798" t="s">
        <v>3984</v>
      </c>
      <c r="C84" s="799"/>
      <c r="D84" s="799"/>
      <c r="E84" s="799"/>
      <c r="F84" s="799"/>
      <c r="G84" s="799"/>
      <c r="H84" s="800"/>
      <c r="I84" s="532" t="s">
        <v>3985</v>
      </c>
      <c r="J84" s="136" t="s">
        <v>3986</v>
      </c>
      <c r="K84" s="136" t="s">
        <v>3987</v>
      </c>
      <c r="L84" s="136" t="s">
        <v>3981</v>
      </c>
      <c r="M84" s="136" t="s">
        <v>3982</v>
      </c>
      <c r="N84" s="138" t="s">
        <v>3794</v>
      </c>
    </row>
    <row r="85" spans="2:14" x14ac:dyDescent="0.25">
      <c r="B85" s="139">
        <v>1</v>
      </c>
      <c r="C85" s="791"/>
      <c r="D85" s="791"/>
      <c r="E85" s="791"/>
      <c r="F85" s="791"/>
      <c r="G85" s="791"/>
      <c r="H85" s="792"/>
      <c r="I85" s="547">
        <v>0.5</v>
      </c>
      <c r="J85" s="16"/>
      <c r="K85" s="48">
        <f t="shared" ref="K85:K114" si="6">IF(OR(I85=0,J85=0),0,IF((((($L$6^2*I85^2)/$H$6^2)*J85)/((($L$6^2*I85^2)/$H$6^2)+J85))&lt;(($L$6^2*I85^2)/$H$6^2),ROUND((((($L$6^2*I85^2)/$H$6^2)*J85)/((($L$6^2*I85^2)/$H$6^2)+J85)),0),ROUND((($L$6^2*I85^2)/$H$6^2),0)))</f>
        <v>0</v>
      </c>
      <c r="L85" s="17"/>
      <c r="M85" s="45">
        <f>N85</f>
        <v>0</v>
      </c>
      <c r="N85" s="143">
        <f t="shared" ref="N85:N114" si="7">K85*L85</f>
        <v>0</v>
      </c>
    </row>
    <row r="86" spans="2:14" x14ac:dyDescent="0.25">
      <c r="B86" s="139">
        <v>2</v>
      </c>
      <c r="C86" s="791"/>
      <c r="D86" s="791"/>
      <c r="E86" s="791"/>
      <c r="F86" s="791"/>
      <c r="G86" s="791"/>
      <c r="H86" s="792"/>
      <c r="I86" s="547">
        <v>0.5</v>
      </c>
      <c r="J86" s="16"/>
      <c r="K86" s="48">
        <f t="shared" si="6"/>
        <v>0</v>
      </c>
      <c r="L86" s="17"/>
      <c r="M86" s="45">
        <f t="shared" ref="M86:M114" si="8">N86</f>
        <v>0</v>
      </c>
      <c r="N86" s="143">
        <f t="shared" si="7"/>
        <v>0</v>
      </c>
    </row>
    <row r="87" spans="2:14" x14ac:dyDescent="0.25">
      <c r="B87" s="139">
        <v>3</v>
      </c>
      <c r="C87" s="791"/>
      <c r="D87" s="791"/>
      <c r="E87" s="791"/>
      <c r="F87" s="791"/>
      <c r="G87" s="791"/>
      <c r="H87" s="792"/>
      <c r="I87" s="547">
        <v>0.5</v>
      </c>
      <c r="J87" s="16"/>
      <c r="K87" s="48">
        <f t="shared" si="6"/>
        <v>0</v>
      </c>
      <c r="L87" s="17"/>
      <c r="M87" s="45">
        <f t="shared" si="8"/>
        <v>0</v>
      </c>
      <c r="N87" s="143">
        <f t="shared" si="7"/>
        <v>0</v>
      </c>
    </row>
    <row r="88" spans="2:14" x14ac:dyDescent="0.25">
      <c r="B88" s="139">
        <v>4</v>
      </c>
      <c r="C88" s="791"/>
      <c r="D88" s="791"/>
      <c r="E88" s="791"/>
      <c r="F88" s="791"/>
      <c r="G88" s="791"/>
      <c r="H88" s="792"/>
      <c r="I88" s="547">
        <v>0.5</v>
      </c>
      <c r="J88" s="16"/>
      <c r="K88" s="48">
        <f t="shared" si="6"/>
        <v>0</v>
      </c>
      <c r="L88" s="17"/>
      <c r="M88" s="45">
        <f t="shared" si="8"/>
        <v>0</v>
      </c>
      <c r="N88" s="143">
        <f t="shared" si="7"/>
        <v>0</v>
      </c>
    </row>
    <row r="89" spans="2:14" x14ac:dyDescent="0.25">
      <c r="B89" s="139">
        <v>5</v>
      </c>
      <c r="C89" s="791"/>
      <c r="D89" s="791"/>
      <c r="E89" s="791"/>
      <c r="F89" s="791"/>
      <c r="G89" s="791"/>
      <c r="H89" s="792"/>
      <c r="I89" s="547">
        <v>0.5</v>
      </c>
      <c r="J89" s="16"/>
      <c r="K89" s="48">
        <f t="shared" si="6"/>
        <v>0</v>
      </c>
      <c r="L89" s="17"/>
      <c r="M89" s="45">
        <f t="shared" si="8"/>
        <v>0</v>
      </c>
      <c r="N89" s="143">
        <f t="shared" si="7"/>
        <v>0</v>
      </c>
    </row>
    <row r="90" spans="2:14" x14ac:dyDescent="0.25">
      <c r="B90" s="139">
        <v>6</v>
      </c>
      <c r="C90" s="791"/>
      <c r="D90" s="791"/>
      <c r="E90" s="791"/>
      <c r="F90" s="791"/>
      <c r="G90" s="791"/>
      <c r="H90" s="792"/>
      <c r="I90" s="547">
        <v>0.5</v>
      </c>
      <c r="J90" s="16"/>
      <c r="K90" s="48">
        <f t="shared" si="6"/>
        <v>0</v>
      </c>
      <c r="L90" s="17"/>
      <c r="M90" s="45">
        <f t="shared" si="8"/>
        <v>0</v>
      </c>
      <c r="N90" s="143">
        <f t="shared" si="7"/>
        <v>0</v>
      </c>
    </row>
    <row r="91" spans="2:14" x14ac:dyDescent="0.25">
      <c r="B91" s="139">
        <v>7</v>
      </c>
      <c r="C91" s="791"/>
      <c r="D91" s="791"/>
      <c r="E91" s="791"/>
      <c r="F91" s="791"/>
      <c r="G91" s="791"/>
      <c r="H91" s="792"/>
      <c r="I91" s="547">
        <v>0.5</v>
      </c>
      <c r="J91" s="16"/>
      <c r="K91" s="48">
        <f t="shared" si="6"/>
        <v>0</v>
      </c>
      <c r="L91" s="17"/>
      <c r="M91" s="45">
        <f t="shared" si="8"/>
        <v>0</v>
      </c>
      <c r="N91" s="143">
        <f t="shared" si="7"/>
        <v>0</v>
      </c>
    </row>
    <row r="92" spans="2:14" x14ac:dyDescent="0.25">
      <c r="B92" s="139">
        <v>8</v>
      </c>
      <c r="C92" s="791"/>
      <c r="D92" s="791"/>
      <c r="E92" s="791"/>
      <c r="F92" s="791"/>
      <c r="G92" s="791"/>
      <c r="H92" s="792"/>
      <c r="I92" s="547">
        <v>0.5</v>
      </c>
      <c r="J92" s="16"/>
      <c r="K92" s="48">
        <f t="shared" si="6"/>
        <v>0</v>
      </c>
      <c r="L92" s="17"/>
      <c r="M92" s="45">
        <f t="shared" si="8"/>
        <v>0</v>
      </c>
      <c r="N92" s="143">
        <f t="shared" si="7"/>
        <v>0</v>
      </c>
    </row>
    <row r="93" spans="2:14" x14ac:dyDescent="0.25">
      <c r="B93" s="139">
        <v>9</v>
      </c>
      <c r="C93" s="791"/>
      <c r="D93" s="791"/>
      <c r="E93" s="791"/>
      <c r="F93" s="791"/>
      <c r="G93" s="791"/>
      <c r="H93" s="792"/>
      <c r="I93" s="547">
        <v>0.5</v>
      </c>
      <c r="J93" s="16"/>
      <c r="K93" s="48">
        <f t="shared" si="6"/>
        <v>0</v>
      </c>
      <c r="L93" s="17"/>
      <c r="M93" s="45">
        <f t="shared" si="8"/>
        <v>0</v>
      </c>
      <c r="N93" s="143">
        <f t="shared" si="7"/>
        <v>0</v>
      </c>
    </row>
    <row r="94" spans="2:14" x14ac:dyDescent="0.25">
      <c r="B94" s="139">
        <v>10</v>
      </c>
      <c r="C94" s="791"/>
      <c r="D94" s="791"/>
      <c r="E94" s="791"/>
      <c r="F94" s="791"/>
      <c r="G94" s="791"/>
      <c r="H94" s="792"/>
      <c r="I94" s="547">
        <v>0.5</v>
      </c>
      <c r="J94" s="16"/>
      <c r="K94" s="48">
        <f t="shared" si="6"/>
        <v>0</v>
      </c>
      <c r="L94" s="17"/>
      <c r="M94" s="45">
        <f t="shared" si="8"/>
        <v>0</v>
      </c>
      <c r="N94" s="143">
        <f t="shared" si="7"/>
        <v>0</v>
      </c>
    </row>
    <row r="95" spans="2:14" x14ac:dyDescent="0.25">
      <c r="B95" s="139">
        <v>11</v>
      </c>
      <c r="C95" s="791"/>
      <c r="D95" s="791"/>
      <c r="E95" s="791"/>
      <c r="F95" s="791"/>
      <c r="G95" s="791"/>
      <c r="H95" s="792"/>
      <c r="I95" s="547">
        <v>0.5</v>
      </c>
      <c r="J95" s="16"/>
      <c r="K95" s="48">
        <f t="shared" si="6"/>
        <v>0</v>
      </c>
      <c r="L95" s="17"/>
      <c r="M95" s="45">
        <f t="shared" si="8"/>
        <v>0</v>
      </c>
      <c r="N95" s="143">
        <f t="shared" si="7"/>
        <v>0</v>
      </c>
    </row>
    <row r="96" spans="2:14" x14ac:dyDescent="0.25">
      <c r="B96" s="139">
        <v>12</v>
      </c>
      <c r="C96" s="791"/>
      <c r="D96" s="791"/>
      <c r="E96" s="791"/>
      <c r="F96" s="791"/>
      <c r="G96" s="791"/>
      <c r="H96" s="792"/>
      <c r="I96" s="547">
        <v>0.5</v>
      </c>
      <c r="J96" s="16"/>
      <c r="K96" s="48">
        <f t="shared" si="6"/>
        <v>0</v>
      </c>
      <c r="L96" s="17"/>
      <c r="M96" s="45">
        <f t="shared" si="8"/>
        <v>0</v>
      </c>
      <c r="N96" s="143">
        <f t="shared" si="7"/>
        <v>0</v>
      </c>
    </row>
    <row r="97" spans="2:14" x14ac:dyDescent="0.25">
      <c r="B97" s="139">
        <v>13</v>
      </c>
      <c r="C97" s="791"/>
      <c r="D97" s="791"/>
      <c r="E97" s="791"/>
      <c r="F97" s="791"/>
      <c r="G97" s="791"/>
      <c r="H97" s="792"/>
      <c r="I97" s="547">
        <v>0.5</v>
      </c>
      <c r="J97" s="16"/>
      <c r="K97" s="48">
        <f t="shared" si="6"/>
        <v>0</v>
      </c>
      <c r="L97" s="17"/>
      <c r="M97" s="45">
        <f t="shared" si="8"/>
        <v>0</v>
      </c>
      <c r="N97" s="143">
        <f t="shared" si="7"/>
        <v>0</v>
      </c>
    </row>
    <row r="98" spans="2:14" x14ac:dyDescent="0.25">
      <c r="B98" s="139">
        <v>14</v>
      </c>
      <c r="C98" s="791"/>
      <c r="D98" s="791"/>
      <c r="E98" s="791"/>
      <c r="F98" s="791"/>
      <c r="G98" s="791"/>
      <c r="H98" s="792"/>
      <c r="I98" s="547">
        <v>0.5</v>
      </c>
      <c r="J98" s="16"/>
      <c r="K98" s="48">
        <f t="shared" si="6"/>
        <v>0</v>
      </c>
      <c r="L98" s="17"/>
      <c r="M98" s="45">
        <f t="shared" si="8"/>
        <v>0</v>
      </c>
      <c r="N98" s="143">
        <f t="shared" si="7"/>
        <v>0</v>
      </c>
    </row>
    <row r="99" spans="2:14" x14ac:dyDescent="0.25">
      <c r="B99" s="139">
        <v>15</v>
      </c>
      <c r="C99" s="791"/>
      <c r="D99" s="791"/>
      <c r="E99" s="791"/>
      <c r="F99" s="791"/>
      <c r="G99" s="791"/>
      <c r="H99" s="792"/>
      <c r="I99" s="547">
        <v>0.5</v>
      </c>
      <c r="J99" s="16"/>
      <c r="K99" s="48">
        <f t="shared" si="6"/>
        <v>0</v>
      </c>
      <c r="L99" s="17"/>
      <c r="M99" s="45">
        <f t="shared" si="8"/>
        <v>0</v>
      </c>
      <c r="N99" s="143">
        <f t="shared" si="7"/>
        <v>0</v>
      </c>
    </row>
    <row r="100" spans="2:14" x14ac:dyDescent="0.25">
      <c r="B100" s="139">
        <v>16</v>
      </c>
      <c r="C100" s="791"/>
      <c r="D100" s="791"/>
      <c r="E100" s="791"/>
      <c r="F100" s="791"/>
      <c r="G100" s="791"/>
      <c r="H100" s="792"/>
      <c r="I100" s="547">
        <v>0.5</v>
      </c>
      <c r="J100" s="16"/>
      <c r="K100" s="48">
        <f t="shared" si="6"/>
        <v>0</v>
      </c>
      <c r="L100" s="17"/>
      <c r="M100" s="45">
        <f t="shared" si="8"/>
        <v>0</v>
      </c>
      <c r="N100" s="143">
        <f t="shared" si="7"/>
        <v>0</v>
      </c>
    </row>
    <row r="101" spans="2:14" x14ac:dyDescent="0.25">
      <c r="B101" s="139">
        <v>17</v>
      </c>
      <c r="C101" s="791"/>
      <c r="D101" s="791"/>
      <c r="E101" s="791"/>
      <c r="F101" s="791"/>
      <c r="G101" s="791"/>
      <c r="H101" s="792"/>
      <c r="I101" s="547">
        <v>0.5</v>
      </c>
      <c r="J101" s="16"/>
      <c r="K101" s="48">
        <f t="shared" si="6"/>
        <v>0</v>
      </c>
      <c r="L101" s="17"/>
      <c r="M101" s="45">
        <f t="shared" si="8"/>
        <v>0</v>
      </c>
      <c r="N101" s="143">
        <f t="shared" si="7"/>
        <v>0</v>
      </c>
    </row>
    <row r="102" spans="2:14" x14ac:dyDescent="0.25">
      <c r="B102" s="139">
        <v>18</v>
      </c>
      <c r="C102" s="791"/>
      <c r="D102" s="791"/>
      <c r="E102" s="791"/>
      <c r="F102" s="791"/>
      <c r="G102" s="791"/>
      <c r="H102" s="792"/>
      <c r="I102" s="547">
        <v>0.5</v>
      </c>
      <c r="J102" s="16"/>
      <c r="K102" s="48">
        <f t="shared" si="6"/>
        <v>0</v>
      </c>
      <c r="L102" s="17"/>
      <c r="M102" s="45">
        <f t="shared" si="8"/>
        <v>0</v>
      </c>
      <c r="N102" s="143">
        <f t="shared" si="7"/>
        <v>0</v>
      </c>
    </row>
    <row r="103" spans="2:14" x14ac:dyDescent="0.25">
      <c r="B103" s="139">
        <v>19</v>
      </c>
      <c r="C103" s="791"/>
      <c r="D103" s="791"/>
      <c r="E103" s="791"/>
      <c r="F103" s="791"/>
      <c r="G103" s="791"/>
      <c r="H103" s="792"/>
      <c r="I103" s="547">
        <v>0.5</v>
      </c>
      <c r="J103" s="16"/>
      <c r="K103" s="48">
        <f t="shared" si="6"/>
        <v>0</v>
      </c>
      <c r="L103" s="17"/>
      <c r="M103" s="45">
        <f t="shared" si="8"/>
        <v>0</v>
      </c>
      <c r="N103" s="143">
        <f t="shared" si="7"/>
        <v>0</v>
      </c>
    </row>
    <row r="104" spans="2:14" x14ac:dyDescent="0.25">
      <c r="B104" s="139">
        <v>20</v>
      </c>
      <c r="C104" s="791"/>
      <c r="D104" s="791"/>
      <c r="E104" s="791"/>
      <c r="F104" s="791"/>
      <c r="G104" s="791"/>
      <c r="H104" s="792"/>
      <c r="I104" s="547">
        <v>0.5</v>
      </c>
      <c r="J104" s="16"/>
      <c r="K104" s="48">
        <f t="shared" si="6"/>
        <v>0</v>
      </c>
      <c r="L104" s="17"/>
      <c r="M104" s="45">
        <f t="shared" si="8"/>
        <v>0</v>
      </c>
      <c r="N104" s="143">
        <f t="shared" si="7"/>
        <v>0</v>
      </c>
    </row>
    <row r="105" spans="2:14" x14ac:dyDescent="0.25">
      <c r="B105" s="139">
        <v>21</v>
      </c>
      <c r="C105" s="791"/>
      <c r="D105" s="791"/>
      <c r="E105" s="791"/>
      <c r="F105" s="791"/>
      <c r="G105" s="791"/>
      <c r="H105" s="792"/>
      <c r="I105" s="547">
        <v>0.5</v>
      </c>
      <c r="J105" s="16"/>
      <c r="K105" s="48">
        <f t="shared" si="6"/>
        <v>0</v>
      </c>
      <c r="L105" s="17"/>
      <c r="M105" s="45">
        <f t="shared" si="8"/>
        <v>0</v>
      </c>
      <c r="N105" s="143">
        <f t="shared" si="7"/>
        <v>0</v>
      </c>
    </row>
    <row r="106" spans="2:14" x14ac:dyDescent="0.25">
      <c r="B106" s="139">
        <v>22</v>
      </c>
      <c r="C106" s="791"/>
      <c r="D106" s="791"/>
      <c r="E106" s="791"/>
      <c r="F106" s="791"/>
      <c r="G106" s="791"/>
      <c r="H106" s="792"/>
      <c r="I106" s="547">
        <v>0.5</v>
      </c>
      <c r="J106" s="16"/>
      <c r="K106" s="48">
        <f t="shared" si="6"/>
        <v>0</v>
      </c>
      <c r="L106" s="17"/>
      <c r="M106" s="45">
        <f t="shared" si="8"/>
        <v>0</v>
      </c>
      <c r="N106" s="143">
        <f t="shared" si="7"/>
        <v>0</v>
      </c>
    </row>
    <row r="107" spans="2:14" x14ac:dyDescent="0.25">
      <c r="B107" s="139">
        <v>23</v>
      </c>
      <c r="C107" s="791"/>
      <c r="D107" s="791"/>
      <c r="E107" s="791"/>
      <c r="F107" s="791"/>
      <c r="G107" s="791"/>
      <c r="H107" s="792"/>
      <c r="I107" s="547">
        <v>0.5</v>
      </c>
      <c r="J107" s="16"/>
      <c r="K107" s="48">
        <f t="shared" si="6"/>
        <v>0</v>
      </c>
      <c r="L107" s="17"/>
      <c r="M107" s="45">
        <f t="shared" si="8"/>
        <v>0</v>
      </c>
      <c r="N107" s="143">
        <f t="shared" si="7"/>
        <v>0</v>
      </c>
    </row>
    <row r="108" spans="2:14" x14ac:dyDescent="0.25">
      <c r="B108" s="139">
        <v>24</v>
      </c>
      <c r="C108" s="791"/>
      <c r="D108" s="791"/>
      <c r="E108" s="791"/>
      <c r="F108" s="791"/>
      <c r="G108" s="791"/>
      <c r="H108" s="792"/>
      <c r="I108" s="547">
        <v>0.5</v>
      </c>
      <c r="J108" s="16"/>
      <c r="K108" s="48">
        <f t="shared" si="6"/>
        <v>0</v>
      </c>
      <c r="L108" s="17"/>
      <c r="M108" s="45">
        <f t="shared" si="8"/>
        <v>0</v>
      </c>
      <c r="N108" s="143">
        <f t="shared" si="7"/>
        <v>0</v>
      </c>
    </row>
    <row r="109" spans="2:14" x14ac:dyDescent="0.25">
      <c r="B109" s="139">
        <v>25</v>
      </c>
      <c r="C109" s="791"/>
      <c r="D109" s="791"/>
      <c r="E109" s="791"/>
      <c r="F109" s="791"/>
      <c r="G109" s="791"/>
      <c r="H109" s="792"/>
      <c r="I109" s="547">
        <v>0.5</v>
      </c>
      <c r="J109" s="16"/>
      <c r="K109" s="48">
        <f t="shared" si="6"/>
        <v>0</v>
      </c>
      <c r="L109" s="17"/>
      <c r="M109" s="45">
        <f t="shared" si="8"/>
        <v>0</v>
      </c>
      <c r="N109" s="143">
        <f t="shared" si="7"/>
        <v>0</v>
      </c>
    </row>
    <row r="110" spans="2:14" x14ac:dyDescent="0.25">
      <c r="B110" s="139">
        <v>26</v>
      </c>
      <c r="C110" s="791"/>
      <c r="D110" s="791"/>
      <c r="E110" s="791"/>
      <c r="F110" s="791"/>
      <c r="G110" s="791"/>
      <c r="H110" s="792"/>
      <c r="I110" s="547">
        <v>0.5</v>
      </c>
      <c r="J110" s="16"/>
      <c r="K110" s="48">
        <f t="shared" si="6"/>
        <v>0</v>
      </c>
      <c r="L110" s="17"/>
      <c r="M110" s="45">
        <f t="shared" si="8"/>
        <v>0</v>
      </c>
      <c r="N110" s="143">
        <f t="shared" si="7"/>
        <v>0</v>
      </c>
    </row>
    <row r="111" spans="2:14" x14ac:dyDescent="0.25">
      <c r="B111" s="139">
        <v>27</v>
      </c>
      <c r="C111" s="791"/>
      <c r="D111" s="791"/>
      <c r="E111" s="791"/>
      <c r="F111" s="791"/>
      <c r="G111" s="791"/>
      <c r="H111" s="792"/>
      <c r="I111" s="547">
        <v>0.5</v>
      </c>
      <c r="J111" s="16"/>
      <c r="K111" s="48">
        <f t="shared" si="6"/>
        <v>0</v>
      </c>
      <c r="L111" s="17"/>
      <c r="M111" s="45">
        <f t="shared" si="8"/>
        <v>0</v>
      </c>
      <c r="N111" s="143">
        <f t="shared" si="7"/>
        <v>0</v>
      </c>
    </row>
    <row r="112" spans="2:14" x14ac:dyDescent="0.25">
      <c r="B112" s="139">
        <v>28</v>
      </c>
      <c r="C112" s="791"/>
      <c r="D112" s="791"/>
      <c r="E112" s="791"/>
      <c r="F112" s="791"/>
      <c r="G112" s="791"/>
      <c r="H112" s="792"/>
      <c r="I112" s="547">
        <v>0.5</v>
      </c>
      <c r="J112" s="16"/>
      <c r="K112" s="48">
        <f t="shared" si="6"/>
        <v>0</v>
      </c>
      <c r="L112" s="17"/>
      <c r="M112" s="45">
        <f t="shared" si="8"/>
        <v>0</v>
      </c>
      <c r="N112" s="143">
        <f t="shared" si="7"/>
        <v>0</v>
      </c>
    </row>
    <row r="113" spans="2:14" x14ac:dyDescent="0.25">
      <c r="B113" s="139">
        <v>29</v>
      </c>
      <c r="C113" s="791"/>
      <c r="D113" s="791"/>
      <c r="E113" s="791"/>
      <c r="F113" s="791"/>
      <c r="G113" s="791"/>
      <c r="H113" s="792"/>
      <c r="I113" s="547">
        <v>0.5</v>
      </c>
      <c r="J113" s="16"/>
      <c r="K113" s="48">
        <f t="shared" si="6"/>
        <v>0</v>
      </c>
      <c r="L113" s="17"/>
      <c r="M113" s="45">
        <f t="shared" si="8"/>
        <v>0</v>
      </c>
      <c r="N113" s="143">
        <f t="shared" si="7"/>
        <v>0</v>
      </c>
    </row>
    <row r="114" spans="2:14" x14ac:dyDescent="0.25">
      <c r="B114" s="139">
        <v>30</v>
      </c>
      <c r="C114" s="791"/>
      <c r="D114" s="791"/>
      <c r="E114" s="791"/>
      <c r="F114" s="791"/>
      <c r="G114" s="791"/>
      <c r="H114" s="792"/>
      <c r="I114" s="547">
        <v>0.5</v>
      </c>
      <c r="J114" s="16"/>
      <c r="K114" s="48">
        <f t="shared" si="6"/>
        <v>0</v>
      </c>
      <c r="L114" s="17"/>
      <c r="M114" s="45">
        <f t="shared" si="8"/>
        <v>0</v>
      </c>
      <c r="N114" s="143">
        <f t="shared" si="7"/>
        <v>0</v>
      </c>
    </row>
    <row r="115" spans="2:14" x14ac:dyDescent="0.25">
      <c r="B115" s="144"/>
      <c r="C115" s="793" t="s">
        <v>3995</v>
      </c>
      <c r="D115" s="793"/>
      <c r="E115" s="793"/>
      <c r="F115" s="793"/>
      <c r="G115" s="793"/>
      <c r="H115" s="793"/>
      <c r="I115" s="793"/>
      <c r="J115" s="793"/>
      <c r="K115" s="793"/>
      <c r="L115" s="794"/>
      <c r="M115" s="145">
        <f>SUM(M83:M114)</f>
        <v>0</v>
      </c>
      <c r="N115" s="145">
        <f>SUM(N83:N114)</f>
        <v>0</v>
      </c>
    </row>
    <row r="116" spans="2:14" x14ac:dyDescent="0.25">
      <c r="B116" s="805" t="s">
        <v>3989</v>
      </c>
      <c r="C116" s="805"/>
      <c r="D116" s="805"/>
      <c r="E116" s="805"/>
      <c r="F116" s="805"/>
      <c r="G116" s="805"/>
      <c r="H116" s="805"/>
      <c r="I116" s="805"/>
      <c r="J116" s="805"/>
      <c r="K116" s="805"/>
      <c r="L116" s="805"/>
      <c r="M116" s="797" t="s">
        <v>3909</v>
      </c>
      <c r="N116" s="797"/>
    </row>
    <row r="117" spans="2:14" x14ac:dyDescent="0.25">
      <c r="B117" s="798" t="s">
        <v>3979</v>
      </c>
      <c r="C117" s="799"/>
      <c r="D117" s="799"/>
      <c r="E117" s="799"/>
      <c r="F117" s="799"/>
      <c r="G117" s="799"/>
      <c r="H117" s="799"/>
      <c r="I117" s="799"/>
      <c r="J117" s="800"/>
      <c r="K117" s="136" t="s">
        <v>3980</v>
      </c>
      <c r="L117" s="136" t="s">
        <v>3981</v>
      </c>
      <c r="M117" s="136" t="s">
        <v>3982</v>
      </c>
      <c r="N117" s="138" t="s">
        <v>3794</v>
      </c>
    </row>
    <row r="118" spans="2:14" x14ac:dyDescent="0.25">
      <c r="B118" s="801" t="s">
        <v>3996</v>
      </c>
      <c r="C118" s="802"/>
      <c r="D118" s="802"/>
      <c r="E118" s="802"/>
      <c r="F118" s="802"/>
      <c r="G118" s="802"/>
      <c r="H118" s="802"/>
      <c r="I118" s="802"/>
      <c r="J118" s="803"/>
      <c r="K118" s="490"/>
      <c r="L118" s="17"/>
      <c r="M118" s="45">
        <f>N118</f>
        <v>0</v>
      </c>
      <c r="N118" s="143">
        <f>K118*L118</f>
        <v>0</v>
      </c>
    </row>
    <row r="119" spans="2:14" x14ac:dyDescent="0.25">
      <c r="B119" s="798" t="s">
        <v>3984</v>
      </c>
      <c r="C119" s="799"/>
      <c r="D119" s="799"/>
      <c r="E119" s="799"/>
      <c r="F119" s="799"/>
      <c r="G119" s="799"/>
      <c r="H119" s="800"/>
      <c r="I119" s="532" t="s">
        <v>3985</v>
      </c>
      <c r="J119" s="136" t="s">
        <v>3986</v>
      </c>
      <c r="K119" s="136" t="s">
        <v>3987</v>
      </c>
      <c r="L119" s="136" t="s">
        <v>3981</v>
      </c>
      <c r="M119" s="136" t="s">
        <v>3982</v>
      </c>
      <c r="N119" s="138" t="s">
        <v>3794</v>
      </c>
    </row>
    <row r="120" spans="2:14" x14ac:dyDescent="0.25">
      <c r="B120" s="139">
        <v>1</v>
      </c>
      <c r="C120" s="791"/>
      <c r="D120" s="791"/>
      <c r="E120" s="791"/>
      <c r="F120" s="791"/>
      <c r="G120" s="791"/>
      <c r="H120" s="792"/>
      <c r="I120" s="547">
        <v>0.5</v>
      </c>
      <c r="J120" s="16"/>
      <c r="K120" s="48">
        <f t="shared" ref="K120:K149" si="9">IF(OR(I120=0,J120=0),0,IF((((($L$6^2*I120^2)/$H$6^2)*J120)/((($L$6^2*I120^2)/$H$6^2)+J120))&lt;(($L$6^2*I120^2)/$H$6^2),ROUND((((($L$6^2*I120^2)/$H$6^2)*J120)/((($L$6^2*I120^2)/$H$6^2)+J120)),0),ROUND((($L$6^2*I120^2)/$H$6^2),0)))</f>
        <v>0</v>
      </c>
      <c r="L120" s="17"/>
      <c r="M120" s="45">
        <f>N120</f>
        <v>0</v>
      </c>
      <c r="N120" s="143">
        <f t="shared" ref="N120:N149" si="10">K120*L120</f>
        <v>0</v>
      </c>
    </row>
    <row r="121" spans="2:14" x14ac:dyDescent="0.25">
      <c r="B121" s="139">
        <v>2</v>
      </c>
      <c r="C121" s="791"/>
      <c r="D121" s="791"/>
      <c r="E121" s="791"/>
      <c r="F121" s="791"/>
      <c r="G121" s="791"/>
      <c r="H121" s="792"/>
      <c r="I121" s="547">
        <v>0.5</v>
      </c>
      <c r="J121" s="16"/>
      <c r="K121" s="48">
        <f t="shared" si="9"/>
        <v>0</v>
      </c>
      <c r="L121" s="17"/>
      <c r="M121" s="45">
        <f>N121</f>
        <v>0</v>
      </c>
      <c r="N121" s="143">
        <f t="shared" si="10"/>
        <v>0</v>
      </c>
    </row>
    <row r="122" spans="2:14" x14ac:dyDescent="0.25">
      <c r="B122" s="139">
        <v>3</v>
      </c>
      <c r="C122" s="791"/>
      <c r="D122" s="791"/>
      <c r="E122" s="791"/>
      <c r="F122" s="791"/>
      <c r="G122" s="791"/>
      <c r="H122" s="792"/>
      <c r="I122" s="547">
        <v>0.5</v>
      </c>
      <c r="J122" s="16"/>
      <c r="K122" s="48">
        <f t="shared" si="9"/>
        <v>0</v>
      </c>
      <c r="L122" s="17"/>
      <c r="M122" s="45">
        <f t="shared" ref="M122:M149" si="11">N122</f>
        <v>0</v>
      </c>
      <c r="N122" s="143">
        <f t="shared" si="10"/>
        <v>0</v>
      </c>
    </row>
    <row r="123" spans="2:14" x14ac:dyDescent="0.25">
      <c r="B123" s="139">
        <v>4</v>
      </c>
      <c r="C123" s="791"/>
      <c r="D123" s="791"/>
      <c r="E123" s="791"/>
      <c r="F123" s="791"/>
      <c r="G123" s="791"/>
      <c r="H123" s="792"/>
      <c r="I123" s="547">
        <v>0.5</v>
      </c>
      <c r="J123" s="16"/>
      <c r="K123" s="48">
        <f t="shared" si="9"/>
        <v>0</v>
      </c>
      <c r="L123" s="17"/>
      <c r="M123" s="45">
        <f t="shared" si="11"/>
        <v>0</v>
      </c>
      <c r="N123" s="143">
        <f t="shared" si="10"/>
        <v>0</v>
      </c>
    </row>
    <row r="124" spans="2:14" x14ac:dyDescent="0.25">
      <c r="B124" s="139">
        <v>5</v>
      </c>
      <c r="C124" s="791"/>
      <c r="D124" s="791"/>
      <c r="E124" s="791"/>
      <c r="F124" s="791"/>
      <c r="G124" s="791"/>
      <c r="H124" s="792"/>
      <c r="I124" s="547">
        <v>0.5</v>
      </c>
      <c r="J124" s="16"/>
      <c r="K124" s="48">
        <f t="shared" si="9"/>
        <v>0</v>
      </c>
      <c r="L124" s="17"/>
      <c r="M124" s="45">
        <f t="shared" si="11"/>
        <v>0</v>
      </c>
      <c r="N124" s="143">
        <f t="shared" si="10"/>
        <v>0</v>
      </c>
    </row>
    <row r="125" spans="2:14" x14ac:dyDescent="0.25">
      <c r="B125" s="139">
        <v>6</v>
      </c>
      <c r="C125" s="791"/>
      <c r="D125" s="791"/>
      <c r="E125" s="791"/>
      <c r="F125" s="791"/>
      <c r="G125" s="791"/>
      <c r="H125" s="792"/>
      <c r="I125" s="547">
        <v>0.5</v>
      </c>
      <c r="J125" s="16"/>
      <c r="K125" s="48">
        <f t="shared" si="9"/>
        <v>0</v>
      </c>
      <c r="L125" s="17"/>
      <c r="M125" s="45">
        <f t="shared" si="11"/>
        <v>0</v>
      </c>
      <c r="N125" s="143">
        <f t="shared" si="10"/>
        <v>0</v>
      </c>
    </row>
    <row r="126" spans="2:14" x14ac:dyDescent="0.25">
      <c r="B126" s="139">
        <v>7</v>
      </c>
      <c r="C126" s="791"/>
      <c r="D126" s="791"/>
      <c r="E126" s="791"/>
      <c r="F126" s="791"/>
      <c r="G126" s="791"/>
      <c r="H126" s="792"/>
      <c r="I126" s="547">
        <v>0.5</v>
      </c>
      <c r="J126" s="16"/>
      <c r="K126" s="48">
        <f t="shared" si="9"/>
        <v>0</v>
      </c>
      <c r="L126" s="17"/>
      <c r="M126" s="45">
        <f t="shared" si="11"/>
        <v>0</v>
      </c>
      <c r="N126" s="143">
        <f t="shared" si="10"/>
        <v>0</v>
      </c>
    </row>
    <row r="127" spans="2:14" x14ac:dyDescent="0.25">
      <c r="B127" s="139">
        <v>8</v>
      </c>
      <c r="C127" s="791"/>
      <c r="D127" s="791"/>
      <c r="E127" s="791"/>
      <c r="F127" s="791"/>
      <c r="G127" s="791"/>
      <c r="H127" s="792"/>
      <c r="I127" s="547">
        <v>0.5</v>
      </c>
      <c r="J127" s="16"/>
      <c r="K127" s="48">
        <f t="shared" si="9"/>
        <v>0</v>
      </c>
      <c r="L127" s="17"/>
      <c r="M127" s="45">
        <f t="shared" si="11"/>
        <v>0</v>
      </c>
      <c r="N127" s="143">
        <f t="shared" si="10"/>
        <v>0</v>
      </c>
    </row>
    <row r="128" spans="2:14" x14ac:dyDescent="0.25">
      <c r="B128" s="139">
        <v>9</v>
      </c>
      <c r="C128" s="791"/>
      <c r="D128" s="791"/>
      <c r="E128" s="791"/>
      <c r="F128" s="791"/>
      <c r="G128" s="791"/>
      <c r="H128" s="792"/>
      <c r="I128" s="547">
        <v>0.5</v>
      </c>
      <c r="J128" s="16"/>
      <c r="K128" s="48">
        <f t="shared" si="9"/>
        <v>0</v>
      </c>
      <c r="L128" s="17"/>
      <c r="M128" s="45">
        <f t="shared" si="11"/>
        <v>0</v>
      </c>
      <c r="N128" s="143">
        <f t="shared" si="10"/>
        <v>0</v>
      </c>
    </row>
    <row r="129" spans="2:14" x14ac:dyDescent="0.25">
      <c r="B129" s="139">
        <v>10</v>
      </c>
      <c r="C129" s="791"/>
      <c r="D129" s="791"/>
      <c r="E129" s="791"/>
      <c r="F129" s="791"/>
      <c r="G129" s="791"/>
      <c r="H129" s="792"/>
      <c r="I129" s="547">
        <v>0.5</v>
      </c>
      <c r="J129" s="16"/>
      <c r="K129" s="48">
        <f t="shared" si="9"/>
        <v>0</v>
      </c>
      <c r="L129" s="17"/>
      <c r="M129" s="45">
        <f t="shared" si="11"/>
        <v>0</v>
      </c>
      <c r="N129" s="143">
        <f t="shared" si="10"/>
        <v>0</v>
      </c>
    </row>
    <row r="130" spans="2:14" x14ac:dyDescent="0.25">
      <c r="B130" s="139">
        <v>11</v>
      </c>
      <c r="C130" s="791"/>
      <c r="D130" s="791"/>
      <c r="E130" s="791"/>
      <c r="F130" s="791"/>
      <c r="G130" s="791"/>
      <c r="H130" s="792"/>
      <c r="I130" s="547">
        <v>0.5</v>
      </c>
      <c r="J130" s="16"/>
      <c r="K130" s="48">
        <f t="shared" si="9"/>
        <v>0</v>
      </c>
      <c r="L130" s="17"/>
      <c r="M130" s="45">
        <f t="shared" si="11"/>
        <v>0</v>
      </c>
      <c r="N130" s="143">
        <f t="shared" si="10"/>
        <v>0</v>
      </c>
    </row>
    <row r="131" spans="2:14" x14ac:dyDescent="0.25">
      <c r="B131" s="139">
        <v>12</v>
      </c>
      <c r="C131" s="791"/>
      <c r="D131" s="791"/>
      <c r="E131" s="791"/>
      <c r="F131" s="791"/>
      <c r="G131" s="791"/>
      <c r="H131" s="792"/>
      <c r="I131" s="547">
        <v>0.5</v>
      </c>
      <c r="J131" s="16"/>
      <c r="K131" s="48">
        <f t="shared" si="9"/>
        <v>0</v>
      </c>
      <c r="L131" s="17"/>
      <c r="M131" s="45">
        <f t="shared" si="11"/>
        <v>0</v>
      </c>
      <c r="N131" s="143">
        <f t="shared" si="10"/>
        <v>0</v>
      </c>
    </row>
    <row r="132" spans="2:14" x14ac:dyDescent="0.25">
      <c r="B132" s="139">
        <v>13</v>
      </c>
      <c r="C132" s="791"/>
      <c r="D132" s="791"/>
      <c r="E132" s="791"/>
      <c r="F132" s="791"/>
      <c r="G132" s="791"/>
      <c r="H132" s="792"/>
      <c r="I132" s="547">
        <v>0.5</v>
      </c>
      <c r="J132" s="16"/>
      <c r="K132" s="48">
        <f t="shared" si="9"/>
        <v>0</v>
      </c>
      <c r="L132" s="17"/>
      <c r="M132" s="45">
        <f t="shared" si="11"/>
        <v>0</v>
      </c>
      <c r="N132" s="143">
        <f t="shared" si="10"/>
        <v>0</v>
      </c>
    </row>
    <row r="133" spans="2:14" x14ac:dyDescent="0.25">
      <c r="B133" s="139">
        <v>14</v>
      </c>
      <c r="C133" s="791"/>
      <c r="D133" s="791"/>
      <c r="E133" s="791"/>
      <c r="F133" s="791"/>
      <c r="G133" s="791"/>
      <c r="H133" s="792"/>
      <c r="I133" s="547">
        <v>0.5</v>
      </c>
      <c r="J133" s="16"/>
      <c r="K133" s="48">
        <f t="shared" si="9"/>
        <v>0</v>
      </c>
      <c r="L133" s="17"/>
      <c r="M133" s="45">
        <f t="shared" si="11"/>
        <v>0</v>
      </c>
      <c r="N133" s="143">
        <f t="shared" si="10"/>
        <v>0</v>
      </c>
    </row>
    <row r="134" spans="2:14" x14ac:dyDescent="0.25">
      <c r="B134" s="139">
        <v>15</v>
      </c>
      <c r="C134" s="791"/>
      <c r="D134" s="791"/>
      <c r="E134" s="791"/>
      <c r="F134" s="791"/>
      <c r="G134" s="791"/>
      <c r="H134" s="792"/>
      <c r="I134" s="547">
        <v>0.5</v>
      </c>
      <c r="J134" s="16"/>
      <c r="K134" s="48">
        <f t="shared" si="9"/>
        <v>0</v>
      </c>
      <c r="L134" s="17"/>
      <c r="M134" s="45">
        <f t="shared" si="11"/>
        <v>0</v>
      </c>
      <c r="N134" s="143">
        <f t="shared" si="10"/>
        <v>0</v>
      </c>
    </row>
    <row r="135" spans="2:14" x14ac:dyDescent="0.25">
      <c r="B135" s="139">
        <v>16</v>
      </c>
      <c r="C135" s="791"/>
      <c r="D135" s="791"/>
      <c r="E135" s="791"/>
      <c r="F135" s="791"/>
      <c r="G135" s="791"/>
      <c r="H135" s="792"/>
      <c r="I135" s="547">
        <v>0.5</v>
      </c>
      <c r="J135" s="16"/>
      <c r="K135" s="48">
        <f t="shared" si="9"/>
        <v>0</v>
      </c>
      <c r="L135" s="17"/>
      <c r="M135" s="45">
        <f t="shared" si="11"/>
        <v>0</v>
      </c>
      <c r="N135" s="143">
        <f t="shared" si="10"/>
        <v>0</v>
      </c>
    </row>
    <row r="136" spans="2:14" x14ac:dyDescent="0.25">
      <c r="B136" s="139">
        <v>17</v>
      </c>
      <c r="C136" s="791"/>
      <c r="D136" s="791"/>
      <c r="E136" s="791"/>
      <c r="F136" s="791"/>
      <c r="G136" s="791"/>
      <c r="H136" s="792"/>
      <c r="I136" s="547">
        <v>0.5</v>
      </c>
      <c r="J136" s="16"/>
      <c r="K136" s="48">
        <f t="shared" si="9"/>
        <v>0</v>
      </c>
      <c r="L136" s="17"/>
      <c r="M136" s="45">
        <f t="shared" si="11"/>
        <v>0</v>
      </c>
      <c r="N136" s="143">
        <f t="shared" si="10"/>
        <v>0</v>
      </c>
    </row>
    <row r="137" spans="2:14" x14ac:dyDescent="0.25">
      <c r="B137" s="139">
        <v>18</v>
      </c>
      <c r="C137" s="791"/>
      <c r="D137" s="791"/>
      <c r="E137" s="791"/>
      <c r="F137" s="791"/>
      <c r="G137" s="791"/>
      <c r="H137" s="792"/>
      <c r="I137" s="547">
        <v>0.5</v>
      </c>
      <c r="J137" s="16"/>
      <c r="K137" s="48">
        <f t="shared" si="9"/>
        <v>0</v>
      </c>
      <c r="L137" s="17"/>
      <c r="M137" s="45">
        <f t="shared" si="11"/>
        <v>0</v>
      </c>
      <c r="N137" s="143">
        <f t="shared" si="10"/>
        <v>0</v>
      </c>
    </row>
    <row r="138" spans="2:14" x14ac:dyDescent="0.25">
      <c r="B138" s="139">
        <v>19</v>
      </c>
      <c r="C138" s="791"/>
      <c r="D138" s="791"/>
      <c r="E138" s="791"/>
      <c r="F138" s="791"/>
      <c r="G138" s="791"/>
      <c r="H138" s="792"/>
      <c r="I138" s="547">
        <v>0.5</v>
      </c>
      <c r="J138" s="16"/>
      <c r="K138" s="48">
        <f t="shared" si="9"/>
        <v>0</v>
      </c>
      <c r="L138" s="17"/>
      <c r="M138" s="45">
        <f t="shared" si="11"/>
        <v>0</v>
      </c>
      <c r="N138" s="143">
        <f t="shared" si="10"/>
        <v>0</v>
      </c>
    </row>
    <row r="139" spans="2:14" x14ac:dyDescent="0.25">
      <c r="B139" s="139">
        <v>20</v>
      </c>
      <c r="C139" s="791"/>
      <c r="D139" s="791"/>
      <c r="E139" s="791"/>
      <c r="F139" s="791"/>
      <c r="G139" s="791"/>
      <c r="H139" s="792"/>
      <c r="I139" s="547">
        <v>0.5</v>
      </c>
      <c r="J139" s="16"/>
      <c r="K139" s="48">
        <f t="shared" si="9"/>
        <v>0</v>
      </c>
      <c r="L139" s="17"/>
      <c r="M139" s="45">
        <f t="shared" si="11"/>
        <v>0</v>
      </c>
      <c r="N139" s="143">
        <f t="shared" si="10"/>
        <v>0</v>
      </c>
    </row>
    <row r="140" spans="2:14" x14ac:dyDescent="0.25">
      <c r="B140" s="139">
        <v>21</v>
      </c>
      <c r="C140" s="791"/>
      <c r="D140" s="791"/>
      <c r="E140" s="791"/>
      <c r="F140" s="791"/>
      <c r="G140" s="791"/>
      <c r="H140" s="792"/>
      <c r="I140" s="547">
        <v>0.5</v>
      </c>
      <c r="J140" s="16"/>
      <c r="K140" s="48">
        <f t="shared" si="9"/>
        <v>0</v>
      </c>
      <c r="L140" s="17"/>
      <c r="M140" s="45">
        <f t="shared" si="11"/>
        <v>0</v>
      </c>
      <c r="N140" s="143">
        <f t="shared" si="10"/>
        <v>0</v>
      </c>
    </row>
    <row r="141" spans="2:14" x14ac:dyDescent="0.25">
      <c r="B141" s="139">
        <v>22</v>
      </c>
      <c r="C141" s="791"/>
      <c r="D141" s="791"/>
      <c r="E141" s="791"/>
      <c r="F141" s="791"/>
      <c r="G141" s="791"/>
      <c r="H141" s="792"/>
      <c r="I141" s="547">
        <v>0.5</v>
      </c>
      <c r="J141" s="16"/>
      <c r="K141" s="48">
        <f t="shared" si="9"/>
        <v>0</v>
      </c>
      <c r="L141" s="17"/>
      <c r="M141" s="45">
        <f t="shared" si="11"/>
        <v>0</v>
      </c>
      <c r="N141" s="143">
        <f t="shared" si="10"/>
        <v>0</v>
      </c>
    </row>
    <row r="142" spans="2:14" x14ac:dyDescent="0.25">
      <c r="B142" s="139">
        <v>23</v>
      </c>
      <c r="C142" s="791"/>
      <c r="D142" s="791"/>
      <c r="E142" s="791"/>
      <c r="F142" s="791"/>
      <c r="G142" s="791"/>
      <c r="H142" s="792"/>
      <c r="I142" s="547">
        <v>0.5</v>
      </c>
      <c r="J142" s="16"/>
      <c r="K142" s="48">
        <f t="shared" si="9"/>
        <v>0</v>
      </c>
      <c r="L142" s="17"/>
      <c r="M142" s="45">
        <f t="shared" si="11"/>
        <v>0</v>
      </c>
      <c r="N142" s="143">
        <f t="shared" si="10"/>
        <v>0</v>
      </c>
    </row>
    <row r="143" spans="2:14" x14ac:dyDescent="0.25">
      <c r="B143" s="139">
        <v>24</v>
      </c>
      <c r="C143" s="791"/>
      <c r="D143" s="791"/>
      <c r="E143" s="791"/>
      <c r="F143" s="791"/>
      <c r="G143" s="791"/>
      <c r="H143" s="792"/>
      <c r="I143" s="547">
        <v>0.5</v>
      </c>
      <c r="J143" s="16"/>
      <c r="K143" s="48">
        <f t="shared" si="9"/>
        <v>0</v>
      </c>
      <c r="L143" s="17"/>
      <c r="M143" s="45">
        <f t="shared" si="11"/>
        <v>0</v>
      </c>
      <c r="N143" s="143">
        <f t="shared" si="10"/>
        <v>0</v>
      </c>
    </row>
    <row r="144" spans="2:14" x14ac:dyDescent="0.25">
      <c r="B144" s="139">
        <v>25</v>
      </c>
      <c r="C144" s="791"/>
      <c r="D144" s="791"/>
      <c r="E144" s="791"/>
      <c r="F144" s="791"/>
      <c r="G144" s="791"/>
      <c r="H144" s="792"/>
      <c r="I144" s="547">
        <v>0.5</v>
      </c>
      <c r="J144" s="16"/>
      <c r="K144" s="48">
        <f t="shared" si="9"/>
        <v>0</v>
      </c>
      <c r="L144" s="17"/>
      <c r="M144" s="45">
        <f t="shared" si="11"/>
        <v>0</v>
      </c>
      <c r="N144" s="143">
        <f t="shared" si="10"/>
        <v>0</v>
      </c>
    </row>
    <row r="145" spans="2:14" x14ac:dyDescent="0.25">
      <c r="B145" s="139">
        <v>26</v>
      </c>
      <c r="C145" s="791"/>
      <c r="D145" s="791"/>
      <c r="E145" s="791"/>
      <c r="F145" s="791"/>
      <c r="G145" s="791"/>
      <c r="H145" s="792"/>
      <c r="I145" s="547">
        <v>0.5</v>
      </c>
      <c r="J145" s="16"/>
      <c r="K145" s="48">
        <f t="shared" si="9"/>
        <v>0</v>
      </c>
      <c r="L145" s="17"/>
      <c r="M145" s="45">
        <f t="shared" si="11"/>
        <v>0</v>
      </c>
      <c r="N145" s="143">
        <f t="shared" si="10"/>
        <v>0</v>
      </c>
    </row>
    <row r="146" spans="2:14" x14ac:dyDescent="0.25">
      <c r="B146" s="139">
        <v>27</v>
      </c>
      <c r="C146" s="791"/>
      <c r="D146" s="791"/>
      <c r="E146" s="791"/>
      <c r="F146" s="791"/>
      <c r="G146" s="791"/>
      <c r="H146" s="792"/>
      <c r="I146" s="547">
        <v>0.5</v>
      </c>
      <c r="J146" s="16"/>
      <c r="K146" s="48">
        <f t="shared" si="9"/>
        <v>0</v>
      </c>
      <c r="L146" s="17"/>
      <c r="M146" s="45">
        <f t="shared" si="11"/>
        <v>0</v>
      </c>
      <c r="N146" s="143">
        <f t="shared" si="10"/>
        <v>0</v>
      </c>
    </row>
    <row r="147" spans="2:14" x14ac:dyDescent="0.25">
      <c r="B147" s="139">
        <v>28</v>
      </c>
      <c r="C147" s="791"/>
      <c r="D147" s="791"/>
      <c r="E147" s="791"/>
      <c r="F147" s="791"/>
      <c r="G147" s="791"/>
      <c r="H147" s="792"/>
      <c r="I147" s="547">
        <v>0.5</v>
      </c>
      <c r="J147" s="16"/>
      <c r="K147" s="48">
        <f t="shared" si="9"/>
        <v>0</v>
      </c>
      <c r="L147" s="17"/>
      <c r="M147" s="45">
        <f t="shared" si="11"/>
        <v>0</v>
      </c>
      <c r="N147" s="143">
        <f t="shared" si="10"/>
        <v>0</v>
      </c>
    </row>
    <row r="148" spans="2:14" x14ac:dyDescent="0.25">
      <c r="B148" s="139">
        <v>29</v>
      </c>
      <c r="C148" s="791"/>
      <c r="D148" s="791"/>
      <c r="E148" s="791"/>
      <c r="F148" s="791"/>
      <c r="G148" s="791"/>
      <c r="H148" s="792"/>
      <c r="I148" s="547">
        <v>0.5</v>
      </c>
      <c r="J148" s="16"/>
      <c r="K148" s="48">
        <f t="shared" si="9"/>
        <v>0</v>
      </c>
      <c r="L148" s="17"/>
      <c r="M148" s="45">
        <f t="shared" si="11"/>
        <v>0</v>
      </c>
      <c r="N148" s="143">
        <f t="shared" si="10"/>
        <v>0</v>
      </c>
    </row>
    <row r="149" spans="2:14" x14ac:dyDescent="0.25">
      <c r="B149" s="139">
        <v>30</v>
      </c>
      <c r="C149" s="791"/>
      <c r="D149" s="791"/>
      <c r="E149" s="791"/>
      <c r="F149" s="791"/>
      <c r="G149" s="791"/>
      <c r="H149" s="792"/>
      <c r="I149" s="547">
        <v>0.5</v>
      </c>
      <c r="J149" s="16"/>
      <c r="K149" s="48">
        <f t="shared" si="9"/>
        <v>0</v>
      </c>
      <c r="L149" s="17"/>
      <c r="M149" s="45">
        <f t="shared" si="11"/>
        <v>0</v>
      </c>
      <c r="N149" s="143">
        <f t="shared" si="10"/>
        <v>0</v>
      </c>
    </row>
    <row r="150" spans="2:14" x14ac:dyDescent="0.25">
      <c r="B150" s="144"/>
      <c r="C150" s="793" t="s">
        <v>3997</v>
      </c>
      <c r="D150" s="793"/>
      <c r="E150" s="793"/>
      <c r="F150" s="793"/>
      <c r="G150" s="793"/>
      <c r="H150" s="793"/>
      <c r="I150" s="793"/>
      <c r="J150" s="793"/>
      <c r="K150" s="793"/>
      <c r="L150" s="794"/>
      <c r="M150" s="45">
        <f>SUM(M118:M149)</f>
        <v>0</v>
      </c>
      <c r="N150" s="145">
        <f>SUM(N118:N149)</f>
        <v>0</v>
      </c>
    </row>
    <row r="151" spans="2:14" x14ac:dyDescent="0.25">
      <c r="B151" s="146"/>
      <c r="C151" s="795" t="s">
        <v>3998</v>
      </c>
      <c r="D151" s="795"/>
      <c r="E151" s="795"/>
      <c r="F151" s="795"/>
      <c r="G151" s="795"/>
      <c r="H151" s="795"/>
      <c r="I151" s="795"/>
      <c r="J151" s="795"/>
      <c r="K151" s="795"/>
      <c r="L151" s="796"/>
      <c r="M151" s="45">
        <f>SUM(M115,M150)</f>
        <v>0</v>
      </c>
      <c r="N151" s="147">
        <f>SUM(N115,N150)</f>
        <v>0</v>
      </c>
    </row>
    <row r="152" spans="2:14" x14ac:dyDescent="0.25">
      <c r="B152" s="734" t="s">
        <v>3999</v>
      </c>
      <c r="C152" s="735"/>
      <c r="D152" s="735"/>
      <c r="E152" s="735"/>
      <c r="F152" s="735"/>
      <c r="G152" s="735"/>
      <c r="H152" s="735"/>
      <c r="I152" s="735"/>
      <c r="J152" s="735"/>
      <c r="K152" s="735"/>
      <c r="L152" s="735"/>
      <c r="M152" s="735"/>
      <c r="N152" s="736"/>
    </row>
    <row r="153" spans="2:14" x14ac:dyDescent="0.25">
      <c r="B153" s="805" t="s">
        <v>3978</v>
      </c>
      <c r="C153" s="805"/>
      <c r="D153" s="805"/>
      <c r="E153" s="805"/>
      <c r="F153" s="805"/>
      <c r="G153" s="805"/>
      <c r="H153" s="805"/>
      <c r="I153" s="805"/>
      <c r="J153" s="805"/>
      <c r="K153" s="805"/>
      <c r="L153" s="805"/>
      <c r="M153" s="797" t="s">
        <v>3909</v>
      </c>
      <c r="N153" s="797"/>
    </row>
    <row r="154" spans="2:14" x14ac:dyDescent="0.25">
      <c r="B154" s="798" t="s">
        <v>3979</v>
      </c>
      <c r="C154" s="799"/>
      <c r="D154" s="799"/>
      <c r="E154" s="799"/>
      <c r="F154" s="799"/>
      <c r="G154" s="799"/>
      <c r="H154" s="799"/>
      <c r="I154" s="799"/>
      <c r="J154" s="800"/>
      <c r="K154" s="136" t="s">
        <v>3980</v>
      </c>
      <c r="L154" s="136" t="s">
        <v>3981</v>
      </c>
      <c r="M154" s="136" t="s">
        <v>3982</v>
      </c>
      <c r="N154" s="138" t="s">
        <v>3794</v>
      </c>
    </row>
    <row r="155" spans="2:14" x14ac:dyDescent="0.25">
      <c r="B155" s="806" t="s">
        <v>4000</v>
      </c>
      <c r="C155" s="807"/>
      <c r="D155" s="807"/>
      <c r="E155" s="807"/>
      <c r="F155" s="807"/>
      <c r="G155" s="807"/>
      <c r="H155" s="807"/>
      <c r="I155" s="807"/>
      <c r="J155" s="808"/>
      <c r="K155" s="490"/>
      <c r="L155" s="17"/>
      <c r="M155" s="45">
        <f>N155</f>
        <v>0</v>
      </c>
      <c r="N155" s="143">
        <f>K155*L155</f>
        <v>0</v>
      </c>
    </row>
    <row r="156" spans="2:14" x14ac:dyDescent="0.25">
      <c r="B156" s="798" t="s">
        <v>3984</v>
      </c>
      <c r="C156" s="799"/>
      <c r="D156" s="799"/>
      <c r="E156" s="799"/>
      <c r="F156" s="799"/>
      <c r="G156" s="799"/>
      <c r="H156" s="800"/>
      <c r="I156" s="532" t="s">
        <v>3985</v>
      </c>
      <c r="J156" s="136" t="s">
        <v>3986</v>
      </c>
      <c r="K156" s="136" t="s">
        <v>3987</v>
      </c>
      <c r="L156" s="136" t="s">
        <v>3981</v>
      </c>
      <c r="M156" s="136" t="s">
        <v>3982</v>
      </c>
      <c r="N156" s="138" t="s">
        <v>3794</v>
      </c>
    </row>
    <row r="157" spans="2:14" x14ac:dyDescent="0.25">
      <c r="B157" s="139">
        <v>1</v>
      </c>
      <c r="C157" s="791"/>
      <c r="D157" s="791"/>
      <c r="E157" s="791"/>
      <c r="F157" s="791"/>
      <c r="G157" s="791"/>
      <c r="H157" s="792"/>
      <c r="I157" s="547">
        <v>0.5</v>
      </c>
      <c r="J157" s="16"/>
      <c r="K157" s="48">
        <f>IF(OR(I157=0,J157=0),0,IF((((($L$6^2*I157^2)/$H$6^2)*J157)/((($L$6^2*I157^2)/$H$6^2)+J157))&lt;(($L$6^2*I157^2)/$H$6^2),ROUND((((($L$6^2*I157^2)/$H$6^2)*J157)/((($L$6^2*I157^2)/$H$6^2)+J157)),0),ROUND((($L$6^2*I157^2)/$H$6^2),0)))</f>
        <v>0</v>
      </c>
      <c r="L157" s="17"/>
      <c r="M157" s="45">
        <f>N157</f>
        <v>0</v>
      </c>
      <c r="N157" s="143">
        <f>K157*L157</f>
        <v>0</v>
      </c>
    </row>
    <row r="158" spans="2:14" x14ac:dyDescent="0.25">
      <c r="B158" s="139">
        <v>2</v>
      </c>
      <c r="C158" s="791"/>
      <c r="D158" s="791"/>
      <c r="E158" s="791"/>
      <c r="F158" s="791"/>
      <c r="G158" s="791"/>
      <c r="H158" s="792"/>
      <c r="I158" s="547">
        <v>0.5</v>
      </c>
      <c r="J158" s="16"/>
      <c r="K158" s="48">
        <f>IF(OR(I158=0,J158=0),0,IF((((($L$6^2*I158^2)/$H$6^2)*J158)/((($L$6^2*I158^2)/$H$6^2)+J158))&lt;(($L$6^2*I158^2)/$H$6^2),ROUND((((($L$6^2*I158^2)/$H$6^2)*J158)/((($L$6^2*I158^2)/$H$6^2)+J158)),0),ROUND((($L$6^2*I158^2)/$H$6^2),0)))</f>
        <v>0</v>
      </c>
      <c r="L158" s="17"/>
      <c r="M158" s="45">
        <f>N158</f>
        <v>0</v>
      </c>
      <c r="N158" s="143">
        <f>K158*L158</f>
        <v>0</v>
      </c>
    </row>
    <row r="159" spans="2:14" x14ac:dyDescent="0.25">
      <c r="B159" s="139">
        <v>3</v>
      </c>
      <c r="C159" s="700"/>
      <c r="D159" s="700"/>
      <c r="E159" s="700"/>
      <c r="F159" s="700"/>
      <c r="G159" s="700"/>
      <c r="H159" s="701"/>
      <c r="I159" s="547">
        <v>0.5</v>
      </c>
      <c r="J159" s="16"/>
      <c r="K159" s="48">
        <f>IF(OR(I159=0,J159=0),0,IF((((($L$6^2*I159^2)/$H$6^2)*J159)/((($L$6^2*I159^2)/$H$6^2)+J159))&lt;(($L$6^2*I159^2)/$H$6^2),ROUND((((($L$6^2*I159^2)/$H$6^2)*J159)/((($L$6^2*I159^2)/$H$6^2)+J159)),0),ROUND((($L$6^2*I159^2)/$H$6^2),0)))</f>
        <v>0</v>
      </c>
      <c r="L159" s="17"/>
      <c r="M159" s="45">
        <f>N159</f>
        <v>0</v>
      </c>
      <c r="N159" s="143">
        <f>K159*L159</f>
        <v>0</v>
      </c>
    </row>
    <row r="160" spans="2:14" x14ac:dyDescent="0.25">
      <c r="B160" s="139">
        <v>4</v>
      </c>
      <c r="C160" s="700"/>
      <c r="D160" s="700"/>
      <c r="E160" s="700"/>
      <c r="F160" s="700"/>
      <c r="G160" s="700"/>
      <c r="H160" s="701"/>
      <c r="I160" s="547">
        <v>0.5</v>
      </c>
      <c r="J160" s="16"/>
      <c r="K160" s="48">
        <f>IF(OR(I160=0,J160=0),0,IF((((($L$6^2*I160^2)/$H$6^2)*J160)/((($L$6^2*I160^2)/$H$6^2)+J160))&lt;(($L$6^2*I160^2)/$H$6^2),ROUND((((($L$6^2*I160^2)/$H$6^2)*J160)/((($L$6^2*I160^2)/$H$6^2)+J160)),0),ROUND((($L$6^2*I160^2)/$H$6^2),0)))</f>
        <v>0</v>
      </c>
      <c r="L160" s="17"/>
      <c r="M160" s="45">
        <f>N160</f>
        <v>0</v>
      </c>
      <c r="N160" s="143">
        <f>K160*L160</f>
        <v>0</v>
      </c>
    </row>
    <row r="161" spans="2:14" x14ac:dyDescent="0.25">
      <c r="B161" s="139">
        <v>5</v>
      </c>
      <c r="C161" s="700"/>
      <c r="D161" s="700"/>
      <c r="E161" s="700"/>
      <c r="F161" s="700"/>
      <c r="G161" s="700"/>
      <c r="H161" s="701"/>
      <c r="I161" s="547">
        <v>0.5</v>
      </c>
      <c r="J161" s="16"/>
      <c r="K161" s="48">
        <f t="shared" ref="K161:K176" si="12">IF(OR(I161=0,J161=0),0,IF((((($L$6^2*I161^2)/$H$6^2)*J161)/((($L$6^2*I161^2)/$H$6^2)+J161))&lt;(($L$6^2*I161^2)/$H$6^2),ROUND((((($L$6^2*I161^2)/$H$6^2)*J161)/((($L$6^2*I161^2)/$H$6^2)+J161)),0),ROUND((($L$6^2*I161^2)/$H$6^2),0)))</f>
        <v>0</v>
      </c>
      <c r="L161" s="17"/>
      <c r="M161" s="45">
        <f t="shared" ref="M161:M176" si="13">N161</f>
        <v>0</v>
      </c>
      <c r="N161" s="143">
        <f t="shared" ref="N161:N176" si="14">K161*L161</f>
        <v>0</v>
      </c>
    </row>
    <row r="162" spans="2:14" x14ac:dyDescent="0.25">
      <c r="B162" s="139">
        <v>6</v>
      </c>
      <c r="C162" s="700"/>
      <c r="D162" s="700"/>
      <c r="E162" s="700"/>
      <c r="F162" s="700"/>
      <c r="G162" s="700"/>
      <c r="H162" s="701"/>
      <c r="I162" s="547">
        <v>0.5</v>
      </c>
      <c r="J162" s="16"/>
      <c r="K162" s="48">
        <f t="shared" si="12"/>
        <v>0</v>
      </c>
      <c r="L162" s="17"/>
      <c r="M162" s="45">
        <f t="shared" si="13"/>
        <v>0</v>
      </c>
      <c r="N162" s="143">
        <f t="shared" si="14"/>
        <v>0</v>
      </c>
    </row>
    <row r="163" spans="2:14" x14ac:dyDescent="0.25">
      <c r="B163" s="139">
        <v>7</v>
      </c>
      <c r="C163" s="700"/>
      <c r="D163" s="700"/>
      <c r="E163" s="700"/>
      <c r="F163" s="700"/>
      <c r="G163" s="700"/>
      <c r="H163" s="701"/>
      <c r="I163" s="547">
        <v>0.5</v>
      </c>
      <c r="J163" s="16"/>
      <c r="K163" s="48">
        <f t="shared" si="12"/>
        <v>0</v>
      </c>
      <c r="L163" s="17"/>
      <c r="M163" s="45">
        <f t="shared" si="13"/>
        <v>0</v>
      </c>
      <c r="N163" s="143">
        <f t="shared" si="14"/>
        <v>0</v>
      </c>
    </row>
    <row r="164" spans="2:14" x14ac:dyDescent="0.25">
      <c r="B164" s="139">
        <v>8</v>
      </c>
      <c r="C164" s="700"/>
      <c r="D164" s="700"/>
      <c r="E164" s="700"/>
      <c r="F164" s="700"/>
      <c r="G164" s="700"/>
      <c r="H164" s="701"/>
      <c r="I164" s="547">
        <v>0.5</v>
      </c>
      <c r="J164" s="16"/>
      <c r="K164" s="48">
        <f t="shared" si="12"/>
        <v>0</v>
      </c>
      <c r="L164" s="17"/>
      <c r="M164" s="45">
        <f t="shared" si="13"/>
        <v>0</v>
      </c>
      <c r="N164" s="143">
        <f t="shared" si="14"/>
        <v>0</v>
      </c>
    </row>
    <row r="165" spans="2:14" x14ac:dyDescent="0.25">
      <c r="B165" s="139">
        <v>9</v>
      </c>
      <c r="C165" s="700"/>
      <c r="D165" s="700"/>
      <c r="E165" s="700"/>
      <c r="F165" s="700"/>
      <c r="G165" s="700"/>
      <c r="H165" s="701"/>
      <c r="I165" s="547">
        <v>0.5</v>
      </c>
      <c r="J165" s="16"/>
      <c r="K165" s="48">
        <f t="shared" si="12"/>
        <v>0</v>
      </c>
      <c r="L165" s="17"/>
      <c r="M165" s="45">
        <f t="shared" si="13"/>
        <v>0</v>
      </c>
      <c r="N165" s="143">
        <f t="shared" si="14"/>
        <v>0</v>
      </c>
    </row>
    <row r="166" spans="2:14" x14ac:dyDescent="0.25">
      <c r="B166" s="139">
        <v>10</v>
      </c>
      <c r="C166" s="700"/>
      <c r="D166" s="700"/>
      <c r="E166" s="700"/>
      <c r="F166" s="700"/>
      <c r="G166" s="700"/>
      <c r="H166" s="701"/>
      <c r="I166" s="547">
        <v>0.5</v>
      </c>
      <c r="J166" s="16"/>
      <c r="K166" s="48">
        <f t="shared" si="12"/>
        <v>0</v>
      </c>
      <c r="L166" s="17"/>
      <c r="M166" s="45">
        <f t="shared" si="13"/>
        <v>0</v>
      </c>
      <c r="N166" s="143">
        <f t="shared" si="14"/>
        <v>0</v>
      </c>
    </row>
    <row r="167" spans="2:14" x14ac:dyDescent="0.25">
      <c r="B167" s="139">
        <v>11</v>
      </c>
      <c r="C167" s="700"/>
      <c r="D167" s="700"/>
      <c r="E167" s="700"/>
      <c r="F167" s="700"/>
      <c r="G167" s="700"/>
      <c r="H167" s="701"/>
      <c r="I167" s="547">
        <v>0.5</v>
      </c>
      <c r="J167" s="16"/>
      <c r="K167" s="48">
        <f t="shared" si="12"/>
        <v>0</v>
      </c>
      <c r="L167" s="17"/>
      <c r="M167" s="45">
        <f t="shared" si="13"/>
        <v>0</v>
      </c>
      <c r="N167" s="143">
        <f t="shared" si="14"/>
        <v>0</v>
      </c>
    </row>
    <row r="168" spans="2:14" x14ac:dyDescent="0.25">
      <c r="B168" s="139">
        <v>12</v>
      </c>
      <c r="C168" s="700"/>
      <c r="D168" s="700"/>
      <c r="E168" s="700"/>
      <c r="F168" s="700"/>
      <c r="G168" s="700"/>
      <c r="H168" s="701"/>
      <c r="I168" s="547">
        <v>0.5</v>
      </c>
      <c r="J168" s="16"/>
      <c r="K168" s="48">
        <f t="shared" si="12"/>
        <v>0</v>
      </c>
      <c r="L168" s="17"/>
      <c r="M168" s="45">
        <f t="shared" si="13"/>
        <v>0</v>
      </c>
      <c r="N168" s="143">
        <f t="shared" si="14"/>
        <v>0</v>
      </c>
    </row>
    <row r="169" spans="2:14" x14ac:dyDescent="0.25">
      <c r="B169" s="139">
        <v>13</v>
      </c>
      <c r="C169" s="700"/>
      <c r="D169" s="700"/>
      <c r="E169" s="700"/>
      <c r="F169" s="700"/>
      <c r="G169" s="700"/>
      <c r="H169" s="701"/>
      <c r="I169" s="547">
        <v>0.5</v>
      </c>
      <c r="J169" s="16"/>
      <c r="K169" s="48">
        <f t="shared" si="12"/>
        <v>0</v>
      </c>
      <c r="L169" s="17"/>
      <c r="M169" s="45">
        <f t="shared" si="13"/>
        <v>0</v>
      </c>
      <c r="N169" s="143">
        <f t="shared" si="14"/>
        <v>0</v>
      </c>
    </row>
    <row r="170" spans="2:14" x14ac:dyDescent="0.25">
      <c r="B170" s="139">
        <v>14</v>
      </c>
      <c r="C170" s="700"/>
      <c r="D170" s="700"/>
      <c r="E170" s="700"/>
      <c r="F170" s="700"/>
      <c r="G170" s="700"/>
      <c r="H170" s="701"/>
      <c r="I170" s="547">
        <v>0.5</v>
      </c>
      <c r="J170" s="16"/>
      <c r="K170" s="48">
        <f t="shared" si="12"/>
        <v>0</v>
      </c>
      <c r="L170" s="17"/>
      <c r="M170" s="45">
        <f t="shared" si="13"/>
        <v>0</v>
      </c>
      <c r="N170" s="143">
        <f t="shared" si="14"/>
        <v>0</v>
      </c>
    </row>
    <row r="171" spans="2:14" x14ac:dyDescent="0.25">
      <c r="B171" s="139">
        <v>15</v>
      </c>
      <c r="C171" s="700"/>
      <c r="D171" s="700"/>
      <c r="E171" s="700"/>
      <c r="F171" s="700"/>
      <c r="G171" s="700"/>
      <c r="H171" s="701"/>
      <c r="I171" s="547">
        <v>0.5</v>
      </c>
      <c r="J171" s="16"/>
      <c r="K171" s="48">
        <f t="shared" si="12"/>
        <v>0</v>
      </c>
      <c r="L171" s="17"/>
      <c r="M171" s="45">
        <f t="shared" si="13"/>
        <v>0</v>
      </c>
      <c r="N171" s="143">
        <f t="shared" si="14"/>
        <v>0</v>
      </c>
    </row>
    <row r="172" spans="2:14" x14ac:dyDescent="0.25">
      <c r="B172" s="139">
        <v>16</v>
      </c>
      <c r="C172" s="700"/>
      <c r="D172" s="700"/>
      <c r="E172" s="700"/>
      <c r="F172" s="700"/>
      <c r="G172" s="700"/>
      <c r="H172" s="701"/>
      <c r="I172" s="547">
        <v>0.5</v>
      </c>
      <c r="J172" s="16"/>
      <c r="K172" s="48">
        <f t="shared" si="12"/>
        <v>0</v>
      </c>
      <c r="L172" s="17"/>
      <c r="M172" s="45">
        <f t="shared" si="13"/>
        <v>0</v>
      </c>
      <c r="N172" s="143">
        <f t="shared" si="14"/>
        <v>0</v>
      </c>
    </row>
    <row r="173" spans="2:14" x14ac:dyDescent="0.25">
      <c r="B173" s="139">
        <v>17</v>
      </c>
      <c r="C173" s="700"/>
      <c r="D173" s="700"/>
      <c r="E173" s="700"/>
      <c r="F173" s="700"/>
      <c r="G173" s="700"/>
      <c r="H173" s="701"/>
      <c r="I173" s="547">
        <v>0.5</v>
      </c>
      <c r="J173" s="16"/>
      <c r="K173" s="48">
        <f t="shared" si="12"/>
        <v>0</v>
      </c>
      <c r="L173" s="17"/>
      <c r="M173" s="45">
        <f t="shared" si="13"/>
        <v>0</v>
      </c>
      <c r="N173" s="143">
        <f t="shared" si="14"/>
        <v>0</v>
      </c>
    </row>
    <row r="174" spans="2:14" x14ac:dyDescent="0.25">
      <c r="B174" s="139">
        <v>18</v>
      </c>
      <c r="C174" s="791"/>
      <c r="D174" s="791"/>
      <c r="E174" s="791"/>
      <c r="F174" s="791"/>
      <c r="G174" s="791"/>
      <c r="H174" s="792"/>
      <c r="I174" s="547">
        <v>0.5</v>
      </c>
      <c r="J174" s="16"/>
      <c r="K174" s="48">
        <f t="shared" si="12"/>
        <v>0</v>
      </c>
      <c r="L174" s="17"/>
      <c r="M174" s="45">
        <f t="shared" si="13"/>
        <v>0</v>
      </c>
      <c r="N174" s="143">
        <f t="shared" si="14"/>
        <v>0</v>
      </c>
    </row>
    <row r="175" spans="2:14" x14ac:dyDescent="0.25">
      <c r="B175" s="139">
        <v>19</v>
      </c>
      <c r="C175" s="791"/>
      <c r="D175" s="791"/>
      <c r="E175" s="791"/>
      <c r="F175" s="791"/>
      <c r="G175" s="791"/>
      <c r="H175" s="792"/>
      <c r="I175" s="547">
        <v>0.5</v>
      </c>
      <c r="J175" s="16"/>
      <c r="K175" s="48">
        <f t="shared" si="12"/>
        <v>0</v>
      </c>
      <c r="L175" s="17"/>
      <c r="M175" s="45">
        <f t="shared" si="13"/>
        <v>0</v>
      </c>
      <c r="N175" s="143">
        <f t="shared" si="14"/>
        <v>0</v>
      </c>
    </row>
    <row r="176" spans="2:14" x14ac:dyDescent="0.25">
      <c r="B176" s="139">
        <v>20</v>
      </c>
      <c r="C176" s="791"/>
      <c r="D176" s="791"/>
      <c r="E176" s="791"/>
      <c r="F176" s="791"/>
      <c r="G176" s="791"/>
      <c r="H176" s="792"/>
      <c r="I176" s="547">
        <v>0.5</v>
      </c>
      <c r="J176" s="16"/>
      <c r="K176" s="48">
        <f t="shared" si="12"/>
        <v>0</v>
      </c>
      <c r="L176" s="17"/>
      <c r="M176" s="45">
        <f t="shared" si="13"/>
        <v>0</v>
      </c>
      <c r="N176" s="143">
        <f t="shared" si="14"/>
        <v>0</v>
      </c>
    </row>
    <row r="177" spans="2:14" x14ac:dyDescent="0.25">
      <c r="B177" s="144"/>
      <c r="C177" s="793" t="s">
        <v>4001</v>
      </c>
      <c r="D177" s="793"/>
      <c r="E177" s="793"/>
      <c r="F177" s="793"/>
      <c r="G177" s="793"/>
      <c r="H177" s="793"/>
      <c r="I177" s="793"/>
      <c r="J177" s="793"/>
      <c r="K177" s="793"/>
      <c r="L177" s="794"/>
      <c r="M177" s="145">
        <f>SUM(M155:M176)</f>
        <v>0</v>
      </c>
      <c r="N177" s="145">
        <f>SUM(N155:N176)</f>
        <v>0</v>
      </c>
    </row>
    <row r="178" spans="2:14" x14ac:dyDescent="0.25">
      <c r="B178" s="805" t="s">
        <v>3989</v>
      </c>
      <c r="C178" s="805"/>
      <c r="D178" s="805"/>
      <c r="E178" s="805"/>
      <c r="F178" s="805"/>
      <c r="G178" s="805"/>
      <c r="H178" s="805"/>
      <c r="I178" s="805"/>
      <c r="J178" s="805"/>
      <c r="K178" s="805"/>
      <c r="L178" s="805"/>
      <c r="M178" s="797" t="s">
        <v>3909</v>
      </c>
      <c r="N178" s="797"/>
    </row>
    <row r="179" spans="2:14" x14ac:dyDescent="0.25">
      <c r="B179" s="798" t="s">
        <v>3979</v>
      </c>
      <c r="C179" s="799"/>
      <c r="D179" s="799"/>
      <c r="E179" s="799"/>
      <c r="F179" s="799"/>
      <c r="G179" s="799"/>
      <c r="H179" s="799"/>
      <c r="I179" s="799"/>
      <c r="J179" s="800"/>
      <c r="K179" s="136" t="s">
        <v>3980</v>
      </c>
      <c r="L179" s="136" t="s">
        <v>3981</v>
      </c>
      <c r="M179" s="136" t="s">
        <v>3982</v>
      </c>
      <c r="N179" s="138" t="s">
        <v>3794</v>
      </c>
    </row>
    <row r="180" spans="2:14" x14ac:dyDescent="0.25">
      <c r="B180" s="801" t="s">
        <v>4002</v>
      </c>
      <c r="C180" s="802"/>
      <c r="D180" s="802"/>
      <c r="E180" s="802"/>
      <c r="F180" s="802"/>
      <c r="G180" s="802"/>
      <c r="H180" s="802"/>
      <c r="I180" s="802"/>
      <c r="J180" s="803"/>
      <c r="K180" s="490"/>
      <c r="L180" s="17"/>
      <c r="M180" s="45">
        <f>N180</f>
        <v>0</v>
      </c>
      <c r="N180" s="143">
        <f>K180*L180</f>
        <v>0</v>
      </c>
    </row>
    <row r="181" spans="2:14" x14ac:dyDescent="0.25">
      <c r="B181" s="798" t="s">
        <v>3984</v>
      </c>
      <c r="C181" s="799"/>
      <c r="D181" s="799"/>
      <c r="E181" s="799"/>
      <c r="F181" s="799"/>
      <c r="G181" s="799"/>
      <c r="H181" s="800"/>
      <c r="I181" s="532" t="s">
        <v>3985</v>
      </c>
      <c r="J181" s="136" t="s">
        <v>3986</v>
      </c>
      <c r="K181" s="136" t="s">
        <v>3987</v>
      </c>
      <c r="L181" s="136" t="s">
        <v>3981</v>
      </c>
      <c r="M181" s="136" t="s">
        <v>3982</v>
      </c>
      <c r="N181" s="138" t="s">
        <v>3794</v>
      </c>
    </row>
    <row r="182" spans="2:14" x14ac:dyDescent="0.25">
      <c r="B182" s="139">
        <v>1</v>
      </c>
      <c r="C182" s="791"/>
      <c r="D182" s="791"/>
      <c r="E182" s="791"/>
      <c r="F182" s="791"/>
      <c r="G182" s="791"/>
      <c r="H182" s="792"/>
      <c r="I182" s="547">
        <v>0.5</v>
      </c>
      <c r="J182" s="16"/>
      <c r="K182" s="48">
        <f t="shared" ref="K182:K201" si="15">IF(OR(I182=0,J182=0),0,IF((((($L$6^2*I182^2)/$H$6^2)*J182)/((($L$6^2*I182^2)/$H$6^2)+J182))&lt;(($L$6^2*I182^2)/$H$6^2),ROUND((((($L$6^2*I182^2)/$H$6^2)*J182)/((($L$6^2*I182^2)/$H$6^2)+J182)),0),ROUND((($L$6^2*I182^2)/$H$6^2),0)))</f>
        <v>0</v>
      </c>
      <c r="L182" s="17"/>
      <c r="M182" s="45">
        <f>N182</f>
        <v>0</v>
      </c>
      <c r="N182" s="143">
        <f t="shared" ref="N182:N201" si="16">K182*L182</f>
        <v>0</v>
      </c>
    </row>
    <row r="183" spans="2:14" x14ac:dyDescent="0.25">
      <c r="B183" s="139">
        <v>2</v>
      </c>
      <c r="C183" s="791"/>
      <c r="D183" s="791"/>
      <c r="E183" s="791"/>
      <c r="F183" s="791"/>
      <c r="G183" s="791"/>
      <c r="H183" s="792"/>
      <c r="I183" s="547">
        <v>0.5</v>
      </c>
      <c r="J183" s="16"/>
      <c r="K183" s="48">
        <f t="shared" si="15"/>
        <v>0</v>
      </c>
      <c r="L183" s="17"/>
      <c r="M183" s="45">
        <f>N183</f>
        <v>0</v>
      </c>
      <c r="N183" s="143">
        <f t="shared" si="16"/>
        <v>0</v>
      </c>
    </row>
    <row r="184" spans="2:14" x14ac:dyDescent="0.25">
      <c r="B184" s="139">
        <v>3</v>
      </c>
      <c r="C184" s="791"/>
      <c r="D184" s="791"/>
      <c r="E184" s="791"/>
      <c r="F184" s="791"/>
      <c r="G184" s="791"/>
      <c r="H184" s="792"/>
      <c r="I184" s="547">
        <v>0.5</v>
      </c>
      <c r="J184" s="16"/>
      <c r="K184" s="48">
        <f t="shared" si="15"/>
        <v>0</v>
      </c>
      <c r="L184" s="17"/>
      <c r="M184" s="45">
        <f t="shared" ref="M184:M201" si="17">N184</f>
        <v>0</v>
      </c>
      <c r="N184" s="143">
        <f t="shared" si="16"/>
        <v>0</v>
      </c>
    </row>
    <row r="185" spans="2:14" x14ac:dyDescent="0.25">
      <c r="B185" s="139">
        <v>4</v>
      </c>
      <c r="C185" s="791"/>
      <c r="D185" s="791"/>
      <c r="E185" s="791"/>
      <c r="F185" s="791"/>
      <c r="G185" s="791"/>
      <c r="H185" s="792"/>
      <c r="I185" s="547">
        <v>0.5</v>
      </c>
      <c r="J185" s="16"/>
      <c r="K185" s="48">
        <f t="shared" si="15"/>
        <v>0</v>
      </c>
      <c r="L185" s="17"/>
      <c r="M185" s="45">
        <f t="shared" si="17"/>
        <v>0</v>
      </c>
      <c r="N185" s="143">
        <f t="shared" si="16"/>
        <v>0</v>
      </c>
    </row>
    <row r="186" spans="2:14" x14ac:dyDescent="0.25">
      <c r="B186" s="139">
        <v>5</v>
      </c>
      <c r="C186" s="791"/>
      <c r="D186" s="791"/>
      <c r="E186" s="791"/>
      <c r="F186" s="791"/>
      <c r="G186" s="791"/>
      <c r="H186" s="792"/>
      <c r="I186" s="547">
        <v>0.5</v>
      </c>
      <c r="J186" s="16"/>
      <c r="K186" s="48">
        <f t="shared" si="15"/>
        <v>0</v>
      </c>
      <c r="L186" s="17"/>
      <c r="M186" s="45">
        <f t="shared" si="17"/>
        <v>0</v>
      </c>
      <c r="N186" s="143">
        <f t="shared" si="16"/>
        <v>0</v>
      </c>
    </row>
    <row r="187" spans="2:14" x14ac:dyDescent="0.25">
      <c r="B187" s="139">
        <v>6</v>
      </c>
      <c r="C187" s="791"/>
      <c r="D187" s="791"/>
      <c r="E187" s="791"/>
      <c r="F187" s="791"/>
      <c r="G187" s="791"/>
      <c r="H187" s="792"/>
      <c r="I187" s="547">
        <v>0.5</v>
      </c>
      <c r="J187" s="16"/>
      <c r="K187" s="48">
        <f t="shared" si="15"/>
        <v>0</v>
      </c>
      <c r="L187" s="17"/>
      <c r="M187" s="45">
        <f t="shared" si="17"/>
        <v>0</v>
      </c>
      <c r="N187" s="143">
        <f t="shared" si="16"/>
        <v>0</v>
      </c>
    </row>
    <row r="188" spans="2:14" x14ac:dyDescent="0.25">
      <c r="B188" s="139">
        <v>7</v>
      </c>
      <c r="C188" s="791"/>
      <c r="D188" s="791"/>
      <c r="E188" s="791"/>
      <c r="F188" s="791"/>
      <c r="G188" s="791"/>
      <c r="H188" s="792"/>
      <c r="I188" s="547">
        <v>0.5</v>
      </c>
      <c r="J188" s="16"/>
      <c r="K188" s="48">
        <f t="shared" si="15"/>
        <v>0</v>
      </c>
      <c r="L188" s="17"/>
      <c r="M188" s="45">
        <f t="shared" si="17"/>
        <v>0</v>
      </c>
      <c r="N188" s="143">
        <f t="shared" si="16"/>
        <v>0</v>
      </c>
    </row>
    <row r="189" spans="2:14" x14ac:dyDescent="0.25">
      <c r="B189" s="139">
        <v>8</v>
      </c>
      <c r="C189" s="791"/>
      <c r="D189" s="791"/>
      <c r="E189" s="791"/>
      <c r="F189" s="791"/>
      <c r="G189" s="791"/>
      <c r="H189" s="792"/>
      <c r="I189" s="547">
        <v>0.5</v>
      </c>
      <c r="J189" s="16"/>
      <c r="K189" s="48">
        <f t="shared" si="15"/>
        <v>0</v>
      </c>
      <c r="L189" s="17"/>
      <c r="M189" s="45">
        <f t="shared" si="17"/>
        <v>0</v>
      </c>
      <c r="N189" s="143">
        <f t="shared" si="16"/>
        <v>0</v>
      </c>
    </row>
    <row r="190" spans="2:14" x14ac:dyDescent="0.25">
      <c r="B190" s="139">
        <v>9</v>
      </c>
      <c r="C190" s="791"/>
      <c r="D190" s="791"/>
      <c r="E190" s="791"/>
      <c r="F190" s="791"/>
      <c r="G190" s="791"/>
      <c r="H190" s="792"/>
      <c r="I190" s="547">
        <v>0.5</v>
      </c>
      <c r="J190" s="16"/>
      <c r="K190" s="48">
        <f t="shared" si="15"/>
        <v>0</v>
      </c>
      <c r="L190" s="17"/>
      <c r="M190" s="45">
        <f t="shared" si="17"/>
        <v>0</v>
      </c>
      <c r="N190" s="143">
        <f t="shared" si="16"/>
        <v>0</v>
      </c>
    </row>
    <row r="191" spans="2:14" x14ac:dyDescent="0.25">
      <c r="B191" s="139">
        <v>10</v>
      </c>
      <c r="C191" s="791"/>
      <c r="D191" s="791"/>
      <c r="E191" s="791"/>
      <c r="F191" s="791"/>
      <c r="G191" s="791"/>
      <c r="H191" s="792"/>
      <c r="I191" s="547">
        <v>0.5</v>
      </c>
      <c r="J191" s="16"/>
      <c r="K191" s="48">
        <f t="shared" si="15"/>
        <v>0</v>
      </c>
      <c r="L191" s="17"/>
      <c r="M191" s="45">
        <f t="shared" si="17"/>
        <v>0</v>
      </c>
      <c r="N191" s="143">
        <f t="shared" si="16"/>
        <v>0</v>
      </c>
    </row>
    <row r="192" spans="2:14" x14ac:dyDescent="0.25">
      <c r="B192" s="139">
        <v>11</v>
      </c>
      <c r="C192" s="791"/>
      <c r="D192" s="791"/>
      <c r="E192" s="791"/>
      <c r="F192" s="791"/>
      <c r="G192" s="791"/>
      <c r="H192" s="792"/>
      <c r="I192" s="547">
        <v>0.5</v>
      </c>
      <c r="J192" s="16"/>
      <c r="K192" s="48">
        <f t="shared" si="15"/>
        <v>0</v>
      </c>
      <c r="L192" s="17"/>
      <c r="M192" s="45">
        <f t="shared" si="17"/>
        <v>0</v>
      </c>
      <c r="N192" s="143">
        <f t="shared" si="16"/>
        <v>0</v>
      </c>
    </row>
    <row r="193" spans="2:14" x14ac:dyDescent="0.25">
      <c r="B193" s="139">
        <v>12</v>
      </c>
      <c r="C193" s="791"/>
      <c r="D193" s="791"/>
      <c r="E193" s="791"/>
      <c r="F193" s="791"/>
      <c r="G193" s="791"/>
      <c r="H193" s="792"/>
      <c r="I193" s="547">
        <v>0.5</v>
      </c>
      <c r="J193" s="16"/>
      <c r="K193" s="48">
        <f t="shared" si="15"/>
        <v>0</v>
      </c>
      <c r="L193" s="17"/>
      <c r="M193" s="45">
        <f t="shared" si="17"/>
        <v>0</v>
      </c>
      <c r="N193" s="143">
        <f t="shared" si="16"/>
        <v>0</v>
      </c>
    </row>
    <row r="194" spans="2:14" x14ac:dyDescent="0.25">
      <c r="B194" s="139">
        <v>13</v>
      </c>
      <c r="C194" s="791"/>
      <c r="D194" s="791"/>
      <c r="E194" s="791"/>
      <c r="F194" s="791"/>
      <c r="G194" s="791"/>
      <c r="H194" s="792"/>
      <c r="I194" s="547">
        <v>0.5</v>
      </c>
      <c r="J194" s="16"/>
      <c r="K194" s="48">
        <f t="shared" si="15"/>
        <v>0</v>
      </c>
      <c r="L194" s="17"/>
      <c r="M194" s="45">
        <f t="shared" si="17"/>
        <v>0</v>
      </c>
      <c r="N194" s="143">
        <f t="shared" si="16"/>
        <v>0</v>
      </c>
    </row>
    <row r="195" spans="2:14" x14ac:dyDescent="0.25">
      <c r="B195" s="139">
        <v>14</v>
      </c>
      <c r="C195" s="791"/>
      <c r="D195" s="791"/>
      <c r="E195" s="791"/>
      <c r="F195" s="791"/>
      <c r="G195" s="791"/>
      <c r="H195" s="792"/>
      <c r="I195" s="547">
        <v>0.5</v>
      </c>
      <c r="J195" s="16"/>
      <c r="K195" s="48">
        <f t="shared" si="15"/>
        <v>0</v>
      </c>
      <c r="L195" s="17"/>
      <c r="M195" s="45">
        <f t="shared" si="17"/>
        <v>0</v>
      </c>
      <c r="N195" s="143">
        <f t="shared" si="16"/>
        <v>0</v>
      </c>
    </row>
    <row r="196" spans="2:14" x14ac:dyDescent="0.25">
      <c r="B196" s="139">
        <v>15</v>
      </c>
      <c r="C196" s="791"/>
      <c r="D196" s="791"/>
      <c r="E196" s="791"/>
      <c r="F196" s="791"/>
      <c r="G196" s="791"/>
      <c r="H196" s="792"/>
      <c r="I196" s="547">
        <v>0.5</v>
      </c>
      <c r="J196" s="16"/>
      <c r="K196" s="48">
        <f t="shared" si="15"/>
        <v>0</v>
      </c>
      <c r="L196" s="17"/>
      <c r="M196" s="45">
        <f t="shared" si="17"/>
        <v>0</v>
      </c>
      <c r="N196" s="143">
        <f t="shared" si="16"/>
        <v>0</v>
      </c>
    </row>
    <row r="197" spans="2:14" x14ac:dyDescent="0.25">
      <c r="B197" s="139">
        <v>16</v>
      </c>
      <c r="C197" s="791"/>
      <c r="D197" s="791"/>
      <c r="E197" s="791"/>
      <c r="F197" s="791"/>
      <c r="G197" s="791"/>
      <c r="H197" s="792"/>
      <c r="I197" s="547">
        <v>0.5</v>
      </c>
      <c r="J197" s="16"/>
      <c r="K197" s="48">
        <f t="shared" si="15"/>
        <v>0</v>
      </c>
      <c r="L197" s="17"/>
      <c r="M197" s="45">
        <f t="shared" si="17"/>
        <v>0</v>
      </c>
      <c r="N197" s="143">
        <f t="shared" si="16"/>
        <v>0</v>
      </c>
    </row>
    <row r="198" spans="2:14" x14ac:dyDescent="0.25">
      <c r="B198" s="139">
        <v>17</v>
      </c>
      <c r="C198" s="791"/>
      <c r="D198" s="791"/>
      <c r="E198" s="791"/>
      <c r="F198" s="791"/>
      <c r="G198" s="791"/>
      <c r="H198" s="792"/>
      <c r="I198" s="547">
        <v>0.5</v>
      </c>
      <c r="J198" s="16"/>
      <c r="K198" s="48">
        <f t="shared" si="15"/>
        <v>0</v>
      </c>
      <c r="L198" s="17"/>
      <c r="M198" s="45">
        <f t="shared" si="17"/>
        <v>0</v>
      </c>
      <c r="N198" s="143">
        <f t="shared" si="16"/>
        <v>0</v>
      </c>
    </row>
    <row r="199" spans="2:14" x14ac:dyDescent="0.25">
      <c r="B199" s="139">
        <v>18</v>
      </c>
      <c r="C199" s="791"/>
      <c r="D199" s="791"/>
      <c r="E199" s="791"/>
      <c r="F199" s="791"/>
      <c r="G199" s="791"/>
      <c r="H199" s="792"/>
      <c r="I199" s="547">
        <v>0.5</v>
      </c>
      <c r="J199" s="16"/>
      <c r="K199" s="48">
        <f t="shared" si="15"/>
        <v>0</v>
      </c>
      <c r="L199" s="17"/>
      <c r="M199" s="45">
        <f t="shared" si="17"/>
        <v>0</v>
      </c>
      <c r="N199" s="143">
        <f t="shared" si="16"/>
        <v>0</v>
      </c>
    </row>
    <row r="200" spans="2:14" x14ac:dyDescent="0.25">
      <c r="B200" s="139">
        <v>19</v>
      </c>
      <c r="C200" s="791"/>
      <c r="D200" s="791"/>
      <c r="E200" s="791"/>
      <c r="F200" s="791"/>
      <c r="G200" s="791"/>
      <c r="H200" s="792"/>
      <c r="I200" s="547">
        <v>0.5</v>
      </c>
      <c r="J200" s="16"/>
      <c r="K200" s="48">
        <f t="shared" si="15"/>
        <v>0</v>
      </c>
      <c r="L200" s="17"/>
      <c r="M200" s="45">
        <f t="shared" si="17"/>
        <v>0</v>
      </c>
      <c r="N200" s="143">
        <f t="shared" si="16"/>
        <v>0</v>
      </c>
    </row>
    <row r="201" spans="2:14" x14ac:dyDescent="0.25">
      <c r="B201" s="139">
        <v>20</v>
      </c>
      <c r="C201" s="791"/>
      <c r="D201" s="791"/>
      <c r="E201" s="791"/>
      <c r="F201" s="791"/>
      <c r="G201" s="791"/>
      <c r="H201" s="792"/>
      <c r="I201" s="547">
        <v>0.5</v>
      </c>
      <c r="J201" s="16"/>
      <c r="K201" s="48">
        <f t="shared" si="15"/>
        <v>0</v>
      </c>
      <c r="L201" s="17"/>
      <c r="M201" s="45">
        <f t="shared" si="17"/>
        <v>0</v>
      </c>
      <c r="N201" s="143">
        <f t="shared" si="16"/>
        <v>0</v>
      </c>
    </row>
    <row r="202" spans="2:14" x14ac:dyDescent="0.25">
      <c r="B202" s="144"/>
      <c r="C202" s="793" t="s">
        <v>4003</v>
      </c>
      <c r="D202" s="793"/>
      <c r="E202" s="793"/>
      <c r="F202" s="793"/>
      <c r="G202" s="793"/>
      <c r="H202" s="793"/>
      <c r="I202" s="793"/>
      <c r="J202" s="793"/>
      <c r="K202" s="793"/>
      <c r="L202" s="794"/>
      <c r="M202" s="45">
        <f>SUM(M180:M201)</f>
        <v>0</v>
      </c>
      <c r="N202" s="145">
        <f>SUM(N180:N201)</f>
        <v>0</v>
      </c>
    </row>
    <row r="203" spans="2:14" x14ac:dyDescent="0.25">
      <c r="B203" s="146"/>
      <c r="C203" s="795" t="s">
        <v>4004</v>
      </c>
      <c r="D203" s="795"/>
      <c r="E203" s="795"/>
      <c r="F203" s="795"/>
      <c r="G203" s="795"/>
      <c r="H203" s="795"/>
      <c r="I203" s="795"/>
      <c r="J203" s="795"/>
      <c r="K203" s="795"/>
      <c r="L203" s="796"/>
      <c r="M203" s="45">
        <f>SUM(M202,M177)</f>
        <v>0</v>
      </c>
      <c r="N203" s="147">
        <f>SUM(N177,N202)</f>
        <v>0</v>
      </c>
    </row>
    <row r="204" spans="2:14" x14ac:dyDescent="0.25">
      <c r="B204" s="734" t="s">
        <v>4005</v>
      </c>
      <c r="C204" s="735"/>
      <c r="D204" s="735"/>
      <c r="E204" s="735"/>
      <c r="F204" s="735"/>
      <c r="G204" s="735"/>
      <c r="H204" s="735"/>
      <c r="I204" s="735"/>
      <c r="J204" s="735"/>
      <c r="K204" s="735"/>
      <c r="L204" s="735"/>
      <c r="M204" s="735"/>
      <c r="N204" s="736"/>
    </row>
    <row r="205" spans="2:14" x14ac:dyDescent="0.25">
      <c r="B205" s="805" t="s">
        <v>3978</v>
      </c>
      <c r="C205" s="805"/>
      <c r="D205" s="805"/>
      <c r="E205" s="805"/>
      <c r="F205" s="805"/>
      <c r="G205" s="805"/>
      <c r="H205" s="805"/>
      <c r="I205" s="805"/>
      <c r="J205" s="805"/>
      <c r="K205" s="805"/>
      <c r="L205" s="805"/>
      <c r="M205" s="797" t="s">
        <v>3909</v>
      </c>
      <c r="N205" s="797"/>
    </row>
    <row r="206" spans="2:14" x14ac:dyDescent="0.25">
      <c r="B206" s="798" t="s">
        <v>3979</v>
      </c>
      <c r="C206" s="799"/>
      <c r="D206" s="799"/>
      <c r="E206" s="799"/>
      <c r="F206" s="799"/>
      <c r="G206" s="799"/>
      <c r="H206" s="799"/>
      <c r="I206" s="799"/>
      <c r="J206" s="800"/>
      <c r="K206" s="136" t="s">
        <v>3980</v>
      </c>
      <c r="L206" s="136" t="s">
        <v>3981</v>
      </c>
      <c r="M206" s="136" t="s">
        <v>3982</v>
      </c>
      <c r="N206" s="138" t="s">
        <v>3794</v>
      </c>
    </row>
    <row r="207" spans="2:14" x14ac:dyDescent="0.25">
      <c r="B207" s="806" t="s">
        <v>4006</v>
      </c>
      <c r="C207" s="807"/>
      <c r="D207" s="807"/>
      <c r="E207" s="807"/>
      <c r="F207" s="807"/>
      <c r="G207" s="807"/>
      <c r="H207" s="807"/>
      <c r="I207" s="807"/>
      <c r="J207" s="808"/>
      <c r="K207" s="490"/>
      <c r="L207" s="17"/>
      <c r="M207" s="45">
        <f>N207</f>
        <v>0</v>
      </c>
      <c r="N207" s="143">
        <f>K207*L207</f>
        <v>0</v>
      </c>
    </row>
    <row r="208" spans="2:14" x14ac:dyDescent="0.25">
      <c r="B208" s="798" t="s">
        <v>3984</v>
      </c>
      <c r="C208" s="799"/>
      <c r="D208" s="799"/>
      <c r="E208" s="799"/>
      <c r="F208" s="799"/>
      <c r="G208" s="799"/>
      <c r="H208" s="800"/>
      <c r="I208" s="532" t="s">
        <v>3985</v>
      </c>
      <c r="J208" s="136" t="s">
        <v>3986</v>
      </c>
      <c r="K208" s="136" t="s">
        <v>3987</v>
      </c>
      <c r="L208" s="136" t="s">
        <v>3981</v>
      </c>
      <c r="M208" s="136" t="s">
        <v>3982</v>
      </c>
      <c r="N208" s="138" t="s">
        <v>3794</v>
      </c>
    </row>
    <row r="209" spans="2:14" x14ac:dyDescent="0.25">
      <c r="B209" s="139">
        <v>1</v>
      </c>
      <c r="C209" s="791"/>
      <c r="D209" s="791"/>
      <c r="E209" s="791"/>
      <c r="F209" s="791"/>
      <c r="G209" s="791"/>
      <c r="H209" s="792"/>
      <c r="I209" s="547">
        <v>0.5</v>
      </c>
      <c r="J209" s="16"/>
      <c r="K209" s="48">
        <f t="shared" ref="K209:K228" si="18">IF(OR(I209=0,J209=0),0,IF((((($L$6^2*I209^2)/$H$6^2)*J209)/((($L$6^2*I209^2)/$H$6^2)+J209))&lt;(($L$6^2*I209^2)/$H$6^2),ROUND((((($L$6^2*I209^2)/$H$6^2)*J209)/((($L$6^2*I209^2)/$H$6^2)+J209)),0),ROUND((($L$6^2*I209^2)/$H$6^2),0)))</f>
        <v>0</v>
      </c>
      <c r="L209" s="17"/>
      <c r="M209" s="45">
        <f>N209</f>
        <v>0</v>
      </c>
      <c r="N209" s="143">
        <f t="shared" ref="N209:N228" si="19">K209*L209</f>
        <v>0</v>
      </c>
    </row>
    <row r="210" spans="2:14" x14ac:dyDescent="0.25">
      <c r="B210" s="139">
        <v>2</v>
      </c>
      <c r="C210" s="791"/>
      <c r="D210" s="791"/>
      <c r="E210" s="791"/>
      <c r="F210" s="791"/>
      <c r="G210" s="791"/>
      <c r="H210" s="792"/>
      <c r="I210" s="547">
        <v>0.5</v>
      </c>
      <c r="J210" s="16"/>
      <c r="K210" s="48">
        <f t="shared" si="18"/>
        <v>0</v>
      </c>
      <c r="L210" s="17"/>
      <c r="M210" s="45">
        <f>N210</f>
        <v>0</v>
      </c>
      <c r="N210" s="143">
        <f t="shared" si="19"/>
        <v>0</v>
      </c>
    </row>
    <row r="211" spans="2:14" x14ac:dyDescent="0.25">
      <c r="B211" s="139">
        <v>3</v>
      </c>
      <c r="C211" s="791"/>
      <c r="D211" s="791"/>
      <c r="E211" s="791"/>
      <c r="F211" s="791"/>
      <c r="G211" s="791"/>
      <c r="H211" s="792"/>
      <c r="I211" s="547">
        <v>0.5</v>
      </c>
      <c r="J211" s="16"/>
      <c r="K211" s="48">
        <f t="shared" si="18"/>
        <v>0</v>
      </c>
      <c r="L211" s="17"/>
      <c r="M211" s="45">
        <f>N211</f>
        <v>0</v>
      </c>
      <c r="N211" s="143">
        <f t="shared" si="19"/>
        <v>0</v>
      </c>
    </row>
    <row r="212" spans="2:14" x14ac:dyDescent="0.25">
      <c r="B212" s="139">
        <v>4</v>
      </c>
      <c r="C212" s="791"/>
      <c r="D212" s="791"/>
      <c r="E212" s="791"/>
      <c r="F212" s="791"/>
      <c r="G212" s="791"/>
      <c r="H212" s="792"/>
      <c r="I212" s="547">
        <v>0.5</v>
      </c>
      <c r="J212" s="16"/>
      <c r="K212" s="48">
        <f t="shared" si="18"/>
        <v>0</v>
      </c>
      <c r="L212" s="17"/>
      <c r="M212" s="45">
        <f t="shared" ref="M212:M228" si="20">N212</f>
        <v>0</v>
      </c>
      <c r="N212" s="143">
        <f t="shared" si="19"/>
        <v>0</v>
      </c>
    </row>
    <row r="213" spans="2:14" x14ac:dyDescent="0.25">
      <c r="B213" s="139">
        <v>5</v>
      </c>
      <c r="C213" s="791"/>
      <c r="D213" s="791"/>
      <c r="E213" s="791"/>
      <c r="F213" s="791"/>
      <c r="G213" s="791"/>
      <c r="H213" s="792"/>
      <c r="I213" s="547">
        <v>0.5</v>
      </c>
      <c r="J213" s="16"/>
      <c r="K213" s="48">
        <f t="shared" si="18"/>
        <v>0</v>
      </c>
      <c r="L213" s="17"/>
      <c r="M213" s="45">
        <f t="shared" si="20"/>
        <v>0</v>
      </c>
      <c r="N213" s="143">
        <f t="shared" si="19"/>
        <v>0</v>
      </c>
    </row>
    <row r="214" spans="2:14" x14ac:dyDescent="0.25">
      <c r="B214" s="139">
        <v>6</v>
      </c>
      <c r="C214" s="791"/>
      <c r="D214" s="791"/>
      <c r="E214" s="791"/>
      <c r="F214" s="791"/>
      <c r="G214" s="791"/>
      <c r="H214" s="792"/>
      <c r="I214" s="547">
        <v>0.5</v>
      </c>
      <c r="J214" s="16"/>
      <c r="K214" s="48">
        <f t="shared" si="18"/>
        <v>0</v>
      </c>
      <c r="L214" s="17"/>
      <c r="M214" s="45">
        <f t="shared" si="20"/>
        <v>0</v>
      </c>
      <c r="N214" s="143">
        <f t="shared" si="19"/>
        <v>0</v>
      </c>
    </row>
    <row r="215" spans="2:14" x14ac:dyDescent="0.25">
      <c r="B215" s="139">
        <v>7</v>
      </c>
      <c r="C215" s="791"/>
      <c r="D215" s="791"/>
      <c r="E215" s="791"/>
      <c r="F215" s="791"/>
      <c r="G215" s="791"/>
      <c r="H215" s="792"/>
      <c r="I215" s="547">
        <v>0.5</v>
      </c>
      <c r="J215" s="16"/>
      <c r="K215" s="48">
        <f t="shared" si="18"/>
        <v>0</v>
      </c>
      <c r="L215" s="17"/>
      <c r="M215" s="45">
        <f t="shared" si="20"/>
        <v>0</v>
      </c>
      <c r="N215" s="143">
        <f t="shared" si="19"/>
        <v>0</v>
      </c>
    </row>
    <row r="216" spans="2:14" x14ac:dyDescent="0.25">
      <c r="B216" s="139">
        <v>8</v>
      </c>
      <c r="C216" s="791"/>
      <c r="D216" s="791"/>
      <c r="E216" s="791"/>
      <c r="F216" s="791"/>
      <c r="G216" s="791"/>
      <c r="H216" s="792"/>
      <c r="I216" s="547">
        <v>0.5</v>
      </c>
      <c r="J216" s="16"/>
      <c r="K216" s="48">
        <f t="shared" si="18"/>
        <v>0</v>
      </c>
      <c r="L216" s="17"/>
      <c r="M216" s="45">
        <f t="shared" si="20"/>
        <v>0</v>
      </c>
      <c r="N216" s="143">
        <f t="shared" si="19"/>
        <v>0</v>
      </c>
    </row>
    <row r="217" spans="2:14" x14ac:dyDescent="0.25">
      <c r="B217" s="139">
        <v>9</v>
      </c>
      <c r="C217" s="791"/>
      <c r="D217" s="791"/>
      <c r="E217" s="791"/>
      <c r="F217" s="791"/>
      <c r="G217" s="791"/>
      <c r="H217" s="792"/>
      <c r="I217" s="547">
        <v>0.5</v>
      </c>
      <c r="J217" s="16"/>
      <c r="K217" s="48">
        <f t="shared" si="18"/>
        <v>0</v>
      </c>
      <c r="L217" s="17"/>
      <c r="M217" s="45">
        <f t="shared" si="20"/>
        <v>0</v>
      </c>
      <c r="N217" s="143">
        <f t="shared" si="19"/>
        <v>0</v>
      </c>
    </row>
    <row r="218" spans="2:14" x14ac:dyDescent="0.25">
      <c r="B218" s="139">
        <v>10</v>
      </c>
      <c r="C218" s="791"/>
      <c r="D218" s="791"/>
      <c r="E218" s="791"/>
      <c r="F218" s="791"/>
      <c r="G218" s="791"/>
      <c r="H218" s="792"/>
      <c r="I218" s="547">
        <v>0.5</v>
      </c>
      <c r="J218" s="16"/>
      <c r="K218" s="48">
        <f t="shared" si="18"/>
        <v>0</v>
      </c>
      <c r="L218" s="17"/>
      <c r="M218" s="45">
        <f t="shared" si="20"/>
        <v>0</v>
      </c>
      <c r="N218" s="143">
        <f t="shared" si="19"/>
        <v>0</v>
      </c>
    </row>
    <row r="219" spans="2:14" x14ac:dyDescent="0.25">
      <c r="B219" s="139">
        <v>11</v>
      </c>
      <c r="C219" s="791"/>
      <c r="D219" s="791"/>
      <c r="E219" s="791"/>
      <c r="F219" s="791"/>
      <c r="G219" s="791"/>
      <c r="H219" s="792"/>
      <c r="I219" s="547">
        <v>0.5</v>
      </c>
      <c r="J219" s="16"/>
      <c r="K219" s="48">
        <f t="shared" si="18"/>
        <v>0</v>
      </c>
      <c r="L219" s="17"/>
      <c r="M219" s="45">
        <f t="shared" si="20"/>
        <v>0</v>
      </c>
      <c r="N219" s="143">
        <f t="shared" si="19"/>
        <v>0</v>
      </c>
    </row>
    <row r="220" spans="2:14" x14ac:dyDescent="0.25">
      <c r="B220" s="139">
        <v>12</v>
      </c>
      <c r="C220" s="791"/>
      <c r="D220" s="791"/>
      <c r="E220" s="791"/>
      <c r="F220" s="791"/>
      <c r="G220" s="791"/>
      <c r="H220" s="792"/>
      <c r="I220" s="547">
        <v>0.5</v>
      </c>
      <c r="J220" s="16"/>
      <c r="K220" s="48">
        <f t="shared" si="18"/>
        <v>0</v>
      </c>
      <c r="L220" s="17"/>
      <c r="M220" s="45">
        <f t="shared" si="20"/>
        <v>0</v>
      </c>
      <c r="N220" s="143">
        <f t="shared" si="19"/>
        <v>0</v>
      </c>
    </row>
    <row r="221" spans="2:14" x14ac:dyDescent="0.25">
      <c r="B221" s="139">
        <v>13</v>
      </c>
      <c r="C221" s="791"/>
      <c r="D221" s="791"/>
      <c r="E221" s="791"/>
      <c r="F221" s="791"/>
      <c r="G221" s="791"/>
      <c r="H221" s="792"/>
      <c r="I221" s="547">
        <v>0.5</v>
      </c>
      <c r="J221" s="16"/>
      <c r="K221" s="48">
        <f t="shared" si="18"/>
        <v>0</v>
      </c>
      <c r="L221" s="17"/>
      <c r="M221" s="45">
        <f t="shared" si="20"/>
        <v>0</v>
      </c>
      <c r="N221" s="143">
        <f t="shared" si="19"/>
        <v>0</v>
      </c>
    </row>
    <row r="222" spans="2:14" x14ac:dyDescent="0.25">
      <c r="B222" s="139">
        <v>14</v>
      </c>
      <c r="C222" s="791"/>
      <c r="D222" s="791"/>
      <c r="E222" s="791"/>
      <c r="F222" s="791"/>
      <c r="G222" s="791"/>
      <c r="H222" s="792"/>
      <c r="I222" s="547">
        <v>0.5</v>
      </c>
      <c r="J222" s="16"/>
      <c r="K222" s="48">
        <f t="shared" si="18"/>
        <v>0</v>
      </c>
      <c r="L222" s="17"/>
      <c r="M222" s="45">
        <f t="shared" si="20"/>
        <v>0</v>
      </c>
      <c r="N222" s="143">
        <f t="shared" si="19"/>
        <v>0</v>
      </c>
    </row>
    <row r="223" spans="2:14" x14ac:dyDescent="0.25">
      <c r="B223" s="139">
        <v>15</v>
      </c>
      <c r="C223" s="791"/>
      <c r="D223" s="791"/>
      <c r="E223" s="791"/>
      <c r="F223" s="791"/>
      <c r="G223" s="791"/>
      <c r="H223" s="792"/>
      <c r="I223" s="547">
        <v>0.5</v>
      </c>
      <c r="J223" s="16"/>
      <c r="K223" s="48">
        <f t="shared" si="18"/>
        <v>0</v>
      </c>
      <c r="L223" s="17"/>
      <c r="M223" s="45">
        <f t="shared" si="20"/>
        <v>0</v>
      </c>
      <c r="N223" s="143">
        <f t="shared" si="19"/>
        <v>0</v>
      </c>
    </row>
    <row r="224" spans="2:14" x14ac:dyDescent="0.25">
      <c r="B224" s="139">
        <v>16</v>
      </c>
      <c r="C224" s="791"/>
      <c r="D224" s="791"/>
      <c r="E224" s="791"/>
      <c r="F224" s="791"/>
      <c r="G224" s="791"/>
      <c r="H224" s="792"/>
      <c r="I224" s="547">
        <v>0.5</v>
      </c>
      <c r="J224" s="16"/>
      <c r="K224" s="48">
        <f t="shared" si="18"/>
        <v>0</v>
      </c>
      <c r="L224" s="17"/>
      <c r="M224" s="45">
        <f t="shared" si="20"/>
        <v>0</v>
      </c>
      <c r="N224" s="143">
        <f t="shared" si="19"/>
        <v>0</v>
      </c>
    </row>
    <row r="225" spans="2:14" x14ac:dyDescent="0.25">
      <c r="B225" s="139">
        <v>17</v>
      </c>
      <c r="C225" s="791"/>
      <c r="D225" s="791"/>
      <c r="E225" s="791"/>
      <c r="F225" s="791"/>
      <c r="G225" s="791"/>
      <c r="H225" s="792"/>
      <c r="I225" s="547">
        <v>0.5</v>
      </c>
      <c r="J225" s="16"/>
      <c r="K225" s="48">
        <f t="shared" si="18"/>
        <v>0</v>
      </c>
      <c r="L225" s="17"/>
      <c r="M225" s="45">
        <f t="shared" si="20"/>
        <v>0</v>
      </c>
      <c r="N225" s="143">
        <f t="shared" si="19"/>
        <v>0</v>
      </c>
    </row>
    <row r="226" spans="2:14" x14ac:dyDescent="0.25">
      <c r="B226" s="139">
        <v>18</v>
      </c>
      <c r="C226" s="791"/>
      <c r="D226" s="791"/>
      <c r="E226" s="791"/>
      <c r="F226" s="791"/>
      <c r="G226" s="791"/>
      <c r="H226" s="792"/>
      <c r="I226" s="547">
        <v>0.5</v>
      </c>
      <c r="J226" s="16"/>
      <c r="K226" s="48">
        <f t="shared" si="18"/>
        <v>0</v>
      </c>
      <c r="L226" s="17"/>
      <c r="M226" s="45">
        <f t="shared" si="20"/>
        <v>0</v>
      </c>
      <c r="N226" s="143">
        <f t="shared" si="19"/>
        <v>0</v>
      </c>
    </row>
    <row r="227" spans="2:14" x14ac:dyDescent="0.25">
      <c r="B227" s="139">
        <v>19</v>
      </c>
      <c r="C227" s="791"/>
      <c r="D227" s="791"/>
      <c r="E227" s="791"/>
      <c r="F227" s="791"/>
      <c r="G227" s="791"/>
      <c r="H227" s="792"/>
      <c r="I227" s="547">
        <v>0.5</v>
      </c>
      <c r="J227" s="16"/>
      <c r="K227" s="48">
        <f t="shared" si="18"/>
        <v>0</v>
      </c>
      <c r="L227" s="17"/>
      <c r="M227" s="45">
        <f t="shared" si="20"/>
        <v>0</v>
      </c>
      <c r="N227" s="143">
        <f t="shared" si="19"/>
        <v>0</v>
      </c>
    </row>
    <row r="228" spans="2:14" x14ac:dyDescent="0.25">
      <c r="B228" s="139">
        <v>20</v>
      </c>
      <c r="C228" s="791"/>
      <c r="D228" s="791"/>
      <c r="E228" s="791"/>
      <c r="F228" s="791"/>
      <c r="G228" s="791"/>
      <c r="H228" s="792"/>
      <c r="I228" s="547">
        <v>0.5</v>
      </c>
      <c r="J228" s="16"/>
      <c r="K228" s="48">
        <f t="shared" si="18"/>
        <v>0</v>
      </c>
      <c r="L228" s="17"/>
      <c r="M228" s="45">
        <f t="shared" si="20"/>
        <v>0</v>
      </c>
      <c r="N228" s="143">
        <f t="shared" si="19"/>
        <v>0</v>
      </c>
    </row>
    <row r="229" spans="2:14" x14ac:dyDescent="0.25">
      <c r="B229" s="144"/>
      <c r="C229" s="793" t="s">
        <v>4007</v>
      </c>
      <c r="D229" s="793"/>
      <c r="E229" s="793"/>
      <c r="F229" s="793"/>
      <c r="G229" s="793"/>
      <c r="H229" s="793"/>
      <c r="I229" s="793"/>
      <c r="J229" s="793"/>
      <c r="K229" s="793"/>
      <c r="L229" s="794"/>
      <c r="M229" s="45">
        <f>SUM(M207:M228)</f>
        <v>0</v>
      </c>
      <c r="N229" s="145">
        <f>SUM(N207:N228)</f>
        <v>0</v>
      </c>
    </row>
    <row r="230" spans="2:14" x14ac:dyDescent="0.25">
      <c r="B230" s="805" t="s">
        <v>3989</v>
      </c>
      <c r="C230" s="805"/>
      <c r="D230" s="805"/>
      <c r="E230" s="805"/>
      <c r="F230" s="805"/>
      <c r="G230" s="805"/>
      <c r="H230" s="805"/>
      <c r="I230" s="805"/>
      <c r="J230" s="805"/>
      <c r="K230" s="805"/>
      <c r="L230" s="805"/>
      <c r="M230" s="797" t="s">
        <v>3909</v>
      </c>
      <c r="N230" s="797"/>
    </row>
    <row r="231" spans="2:14" x14ac:dyDescent="0.25">
      <c r="B231" s="798" t="s">
        <v>3979</v>
      </c>
      <c r="C231" s="799"/>
      <c r="D231" s="799"/>
      <c r="E231" s="799"/>
      <c r="F231" s="799"/>
      <c r="G231" s="799"/>
      <c r="H231" s="799"/>
      <c r="I231" s="799"/>
      <c r="J231" s="800"/>
      <c r="K231" s="136" t="s">
        <v>3980</v>
      </c>
      <c r="L231" s="136" t="s">
        <v>3981</v>
      </c>
      <c r="M231" s="136" t="s">
        <v>3982</v>
      </c>
      <c r="N231" s="138" t="s">
        <v>3794</v>
      </c>
    </row>
    <row r="232" spans="2:14" x14ac:dyDescent="0.25">
      <c r="B232" s="801" t="s">
        <v>4008</v>
      </c>
      <c r="C232" s="802"/>
      <c r="D232" s="802"/>
      <c r="E232" s="802"/>
      <c r="F232" s="802"/>
      <c r="G232" s="802"/>
      <c r="H232" s="802"/>
      <c r="I232" s="802"/>
      <c r="J232" s="803"/>
      <c r="K232" s="490"/>
      <c r="L232" s="17"/>
      <c r="M232" s="45">
        <f>N232</f>
        <v>0</v>
      </c>
      <c r="N232" s="143">
        <f>K232*L232</f>
        <v>0</v>
      </c>
    </row>
    <row r="233" spans="2:14" x14ac:dyDescent="0.25">
      <c r="B233" s="798" t="s">
        <v>3984</v>
      </c>
      <c r="C233" s="799"/>
      <c r="D233" s="799"/>
      <c r="E233" s="799"/>
      <c r="F233" s="799"/>
      <c r="G233" s="799"/>
      <c r="H233" s="800"/>
      <c r="I233" s="532" t="s">
        <v>3985</v>
      </c>
      <c r="J233" s="136" t="s">
        <v>3986</v>
      </c>
      <c r="K233" s="136" t="s">
        <v>3987</v>
      </c>
      <c r="L233" s="136" t="s">
        <v>3981</v>
      </c>
      <c r="M233" s="136" t="s">
        <v>3982</v>
      </c>
      <c r="N233" s="138" t="s">
        <v>3794</v>
      </c>
    </row>
    <row r="234" spans="2:14" x14ac:dyDescent="0.25">
      <c r="B234" s="139">
        <v>1</v>
      </c>
      <c r="C234" s="791"/>
      <c r="D234" s="791"/>
      <c r="E234" s="791"/>
      <c r="F234" s="791"/>
      <c r="G234" s="791"/>
      <c r="H234" s="792"/>
      <c r="I234" s="547">
        <v>0.5</v>
      </c>
      <c r="J234" s="16"/>
      <c r="K234" s="48">
        <f t="shared" ref="K234:K253" si="21">IF(OR(I234=0,J234=0),0,IF((((($L$6^2*I234^2)/$H$6^2)*J234)/((($L$6^2*I234^2)/$H$6^2)+J234))&lt;(($L$6^2*I234^2)/$H$6^2),ROUND((((($L$6^2*I234^2)/$H$6^2)*J234)/((($L$6^2*I234^2)/$H$6^2)+J234)),0),ROUND((($L$6^2*I234^2)/$H$6^2),0)))</f>
        <v>0</v>
      </c>
      <c r="L234" s="17"/>
      <c r="M234" s="45">
        <f>N234</f>
        <v>0</v>
      </c>
      <c r="N234" s="143">
        <f t="shared" ref="N234:N253" si="22">K234*L234</f>
        <v>0</v>
      </c>
    </row>
    <row r="235" spans="2:14" x14ac:dyDescent="0.25">
      <c r="B235" s="139">
        <v>2</v>
      </c>
      <c r="C235" s="791"/>
      <c r="D235" s="791"/>
      <c r="E235" s="791"/>
      <c r="F235" s="791"/>
      <c r="G235" s="791"/>
      <c r="H235" s="792"/>
      <c r="I235" s="547">
        <v>0.5</v>
      </c>
      <c r="J235" s="16"/>
      <c r="K235" s="48">
        <f t="shared" si="21"/>
        <v>0</v>
      </c>
      <c r="L235" s="17"/>
      <c r="M235" s="45">
        <f>N235</f>
        <v>0</v>
      </c>
      <c r="N235" s="143">
        <f t="shared" si="22"/>
        <v>0</v>
      </c>
    </row>
    <row r="236" spans="2:14" x14ac:dyDescent="0.25">
      <c r="B236" s="139">
        <v>3</v>
      </c>
      <c r="C236" s="791"/>
      <c r="D236" s="791"/>
      <c r="E236" s="791"/>
      <c r="F236" s="791"/>
      <c r="G236" s="791"/>
      <c r="H236" s="792"/>
      <c r="I236" s="547">
        <v>0.5</v>
      </c>
      <c r="J236" s="16"/>
      <c r="K236" s="48">
        <f t="shared" si="21"/>
        <v>0</v>
      </c>
      <c r="L236" s="17"/>
      <c r="M236" s="45">
        <f t="shared" ref="M236:M253" si="23">N236</f>
        <v>0</v>
      </c>
      <c r="N236" s="143">
        <f t="shared" si="22"/>
        <v>0</v>
      </c>
    </row>
    <row r="237" spans="2:14" x14ac:dyDescent="0.25">
      <c r="B237" s="139">
        <v>4</v>
      </c>
      <c r="C237" s="791"/>
      <c r="D237" s="791"/>
      <c r="E237" s="791"/>
      <c r="F237" s="791"/>
      <c r="G237" s="791"/>
      <c r="H237" s="792"/>
      <c r="I237" s="547">
        <v>0.5</v>
      </c>
      <c r="J237" s="16"/>
      <c r="K237" s="48">
        <f t="shared" si="21"/>
        <v>0</v>
      </c>
      <c r="L237" s="17"/>
      <c r="M237" s="45">
        <f t="shared" si="23"/>
        <v>0</v>
      </c>
      <c r="N237" s="143">
        <f t="shared" si="22"/>
        <v>0</v>
      </c>
    </row>
    <row r="238" spans="2:14" x14ac:dyDescent="0.25">
      <c r="B238" s="139">
        <v>5</v>
      </c>
      <c r="C238" s="791"/>
      <c r="D238" s="791"/>
      <c r="E238" s="791"/>
      <c r="F238" s="791"/>
      <c r="G238" s="791"/>
      <c r="H238" s="792"/>
      <c r="I238" s="547">
        <v>0.5</v>
      </c>
      <c r="J238" s="16"/>
      <c r="K238" s="48">
        <f t="shared" si="21"/>
        <v>0</v>
      </c>
      <c r="L238" s="17"/>
      <c r="M238" s="45">
        <f t="shared" si="23"/>
        <v>0</v>
      </c>
      <c r="N238" s="143">
        <f t="shared" si="22"/>
        <v>0</v>
      </c>
    </row>
    <row r="239" spans="2:14" x14ac:dyDescent="0.25">
      <c r="B239" s="139">
        <v>6</v>
      </c>
      <c r="C239" s="791"/>
      <c r="D239" s="791"/>
      <c r="E239" s="791"/>
      <c r="F239" s="791"/>
      <c r="G239" s="791"/>
      <c r="H239" s="792"/>
      <c r="I239" s="547">
        <v>0.5</v>
      </c>
      <c r="J239" s="16"/>
      <c r="K239" s="48">
        <f t="shared" si="21"/>
        <v>0</v>
      </c>
      <c r="L239" s="17"/>
      <c r="M239" s="45">
        <f t="shared" si="23"/>
        <v>0</v>
      </c>
      <c r="N239" s="143">
        <f t="shared" si="22"/>
        <v>0</v>
      </c>
    </row>
    <row r="240" spans="2:14" x14ac:dyDescent="0.25">
      <c r="B240" s="139">
        <v>7</v>
      </c>
      <c r="C240" s="791"/>
      <c r="D240" s="791"/>
      <c r="E240" s="791"/>
      <c r="F240" s="791"/>
      <c r="G240" s="791"/>
      <c r="H240" s="792"/>
      <c r="I240" s="547">
        <v>0.5</v>
      </c>
      <c r="J240" s="16"/>
      <c r="K240" s="48">
        <f t="shared" si="21"/>
        <v>0</v>
      </c>
      <c r="L240" s="17"/>
      <c r="M240" s="45">
        <f t="shared" si="23"/>
        <v>0</v>
      </c>
      <c r="N240" s="143">
        <f t="shared" si="22"/>
        <v>0</v>
      </c>
    </row>
    <row r="241" spans="2:14" x14ac:dyDescent="0.25">
      <c r="B241" s="139">
        <v>8</v>
      </c>
      <c r="C241" s="791"/>
      <c r="D241" s="791"/>
      <c r="E241" s="791"/>
      <c r="F241" s="791"/>
      <c r="G241" s="791"/>
      <c r="H241" s="792"/>
      <c r="I241" s="547">
        <v>0.5</v>
      </c>
      <c r="J241" s="16"/>
      <c r="K241" s="48">
        <f t="shared" si="21"/>
        <v>0</v>
      </c>
      <c r="L241" s="17"/>
      <c r="M241" s="45">
        <f t="shared" si="23"/>
        <v>0</v>
      </c>
      <c r="N241" s="143">
        <f t="shared" si="22"/>
        <v>0</v>
      </c>
    </row>
    <row r="242" spans="2:14" x14ac:dyDescent="0.25">
      <c r="B242" s="139">
        <v>9</v>
      </c>
      <c r="C242" s="791"/>
      <c r="D242" s="791"/>
      <c r="E242" s="791"/>
      <c r="F242" s="791"/>
      <c r="G242" s="791"/>
      <c r="H242" s="792"/>
      <c r="I242" s="547">
        <v>0.5</v>
      </c>
      <c r="J242" s="16"/>
      <c r="K242" s="48">
        <f t="shared" si="21"/>
        <v>0</v>
      </c>
      <c r="L242" s="17"/>
      <c r="M242" s="45">
        <f t="shared" si="23"/>
        <v>0</v>
      </c>
      <c r="N242" s="143">
        <f t="shared" si="22"/>
        <v>0</v>
      </c>
    </row>
    <row r="243" spans="2:14" x14ac:dyDescent="0.25">
      <c r="B243" s="139">
        <v>10</v>
      </c>
      <c r="C243" s="791"/>
      <c r="D243" s="791"/>
      <c r="E243" s="791"/>
      <c r="F243" s="791"/>
      <c r="G243" s="791"/>
      <c r="H243" s="792"/>
      <c r="I243" s="547">
        <v>0.5</v>
      </c>
      <c r="J243" s="16"/>
      <c r="K243" s="48">
        <f t="shared" si="21"/>
        <v>0</v>
      </c>
      <c r="L243" s="17"/>
      <c r="M243" s="45">
        <f t="shared" si="23"/>
        <v>0</v>
      </c>
      <c r="N243" s="143">
        <f t="shared" si="22"/>
        <v>0</v>
      </c>
    </row>
    <row r="244" spans="2:14" x14ac:dyDescent="0.25">
      <c r="B244" s="139">
        <v>11</v>
      </c>
      <c r="C244" s="791"/>
      <c r="D244" s="791"/>
      <c r="E244" s="791"/>
      <c r="F244" s="791"/>
      <c r="G244" s="791"/>
      <c r="H244" s="792"/>
      <c r="I244" s="547">
        <v>0.5</v>
      </c>
      <c r="J244" s="16"/>
      <c r="K244" s="48">
        <f t="shared" si="21"/>
        <v>0</v>
      </c>
      <c r="L244" s="17"/>
      <c r="M244" s="45">
        <f t="shared" si="23"/>
        <v>0</v>
      </c>
      <c r="N244" s="143">
        <f t="shared" si="22"/>
        <v>0</v>
      </c>
    </row>
    <row r="245" spans="2:14" x14ac:dyDescent="0.25">
      <c r="B245" s="139">
        <v>12</v>
      </c>
      <c r="C245" s="791"/>
      <c r="D245" s="791"/>
      <c r="E245" s="791"/>
      <c r="F245" s="791"/>
      <c r="G245" s="791"/>
      <c r="H245" s="792"/>
      <c r="I245" s="547">
        <v>0.5</v>
      </c>
      <c r="J245" s="16"/>
      <c r="K245" s="48">
        <f t="shared" si="21"/>
        <v>0</v>
      </c>
      <c r="L245" s="17"/>
      <c r="M245" s="45">
        <f t="shared" si="23"/>
        <v>0</v>
      </c>
      <c r="N245" s="143">
        <f t="shared" si="22"/>
        <v>0</v>
      </c>
    </row>
    <row r="246" spans="2:14" x14ac:dyDescent="0.25">
      <c r="B246" s="139">
        <v>13</v>
      </c>
      <c r="C246" s="791"/>
      <c r="D246" s="791"/>
      <c r="E246" s="791"/>
      <c r="F246" s="791"/>
      <c r="G246" s="791"/>
      <c r="H246" s="792"/>
      <c r="I246" s="547">
        <v>0.5</v>
      </c>
      <c r="J246" s="16"/>
      <c r="K246" s="48">
        <f t="shared" si="21"/>
        <v>0</v>
      </c>
      <c r="L246" s="17"/>
      <c r="M246" s="45">
        <f t="shared" si="23"/>
        <v>0</v>
      </c>
      <c r="N246" s="143">
        <f t="shared" si="22"/>
        <v>0</v>
      </c>
    </row>
    <row r="247" spans="2:14" x14ac:dyDescent="0.25">
      <c r="B247" s="139">
        <v>14</v>
      </c>
      <c r="C247" s="791"/>
      <c r="D247" s="791"/>
      <c r="E247" s="791"/>
      <c r="F247" s="791"/>
      <c r="G247" s="791"/>
      <c r="H247" s="792"/>
      <c r="I247" s="547">
        <v>0.5</v>
      </c>
      <c r="J247" s="16"/>
      <c r="K247" s="48">
        <f t="shared" si="21"/>
        <v>0</v>
      </c>
      <c r="L247" s="17"/>
      <c r="M247" s="45">
        <f t="shared" si="23"/>
        <v>0</v>
      </c>
      <c r="N247" s="143">
        <f t="shared" si="22"/>
        <v>0</v>
      </c>
    </row>
    <row r="248" spans="2:14" x14ac:dyDescent="0.25">
      <c r="B248" s="139">
        <v>15</v>
      </c>
      <c r="C248" s="791"/>
      <c r="D248" s="791"/>
      <c r="E248" s="791"/>
      <c r="F248" s="791"/>
      <c r="G248" s="791"/>
      <c r="H248" s="792"/>
      <c r="I248" s="547">
        <v>0.5</v>
      </c>
      <c r="J248" s="16"/>
      <c r="K248" s="48">
        <f t="shared" si="21"/>
        <v>0</v>
      </c>
      <c r="L248" s="17"/>
      <c r="M248" s="45">
        <f t="shared" si="23"/>
        <v>0</v>
      </c>
      <c r="N248" s="143">
        <f t="shared" si="22"/>
        <v>0</v>
      </c>
    </row>
    <row r="249" spans="2:14" x14ac:dyDescent="0.25">
      <c r="B249" s="139">
        <v>16</v>
      </c>
      <c r="C249" s="791"/>
      <c r="D249" s="791"/>
      <c r="E249" s="791"/>
      <c r="F249" s="791"/>
      <c r="G249" s="791"/>
      <c r="H249" s="792"/>
      <c r="I249" s="547">
        <v>0.5</v>
      </c>
      <c r="J249" s="16"/>
      <c r="K249" s="48">
        <f t="shared" si="21"/>
        <v>0</v>
      </c>
      <c r="L249" s="17"/>
      <c r="M249" s="45">
        <f t="shared" si="23"/>
        <v>0</v>
      </c>
      <c r="N249" s="143">
        <f t="shared" si="22"/>
        <v>0</v>
      </c>
    </row>
    <row r="250" spans="2:14" x14ac:dyDescent="0.25">
      <c r="B250" s="139">
        <v>17</v>
      </c>
      <c r="C250" s="791"/>
      <c r="D250" s="791"/>
      <c r="E250" s="791"/>
      <c r="F250" s="791"/>
      <c r="G250" s="791"/>
      <c r="H250" s="792"/>
      <c r="I250" s="547">
        <v>0.5</v>
      </c>
      <c r="J250" s="16"/>
      <c r="K250" s="48">
        <f t="shared" si="21"/>
        <v>0</v>
      </c>
      <c r="L250" s="17"/>
      <c r="M250" s="45">
        <f t="shared" si="23"/>
        <v>0</v>
      </c>
      <c r="N250" s="143">
        <f t="shared" si="22"/>
        <v>0</v>
      </c>
    </row>
    <row r="251" spans="2:14" x14ac:dyDescent="0.25">
      <c r="B251" s="139">
        <v>18</v>
      </c>
      <c r="C251" s="791"/>
      <c r="D251" s="791"/>
      <c r="E251" s="791"/>
      <c r="F251" s="791"/>
      <c r="G251" s="791"/>
      <c r="H251" s="792"/>
      <c r="I251" s="547">
        <v>0.5</v>
      </c>
      <c r="J251" s="16"/>
      <c r="K251" s="48">
        <f t="shared" si="21"/>
        <v>0</v>
      </c>
      <c r="L251" s="17"/>
      <c r="M251" s="45">
        <f t="shared" si="23"/>
        <v>0</v>
      </c>
      <c r="N251" s="143">
        <f t="shared" si="22"/>
        <v>0</v>
      </c>
    </row>
    <row r="252" spans="2:14" x14ac:dyDescent="0.25">
      <c r="B252" s="139">
        <v>19</v>
      </c>
      <c r="C252" s="791"/>
      <c r="D252" s="791"/>
      <c r="E252" s="791"/>
      <c r="F252" s="791"/>
      <c r="G252" s="791"/>
      <c r="H252" s="792"/>
      <c r="I252" s="547">
        <v>0.5</v>
      </c>
      <c r="J252" s="16"/>
      <c r="K252" s="48">
        <f t="shared" si="21"/>
        <v>0</v>
      </c>
      <c r="L252" s="17"/>
      <c r="M252" s="45">
        <f t="shared" si="23"/>
        <v>0</v>
      </c>
      <c r="N252" s="143">
        <f t="shared" si="22"/>
        <v>0</v>
      </c>
    </row>
    <row r="253" spans="2:14" x14ac:dyDescent="0.25">
      <c r="B253" s="139">
        <v>20</v>
      </c>
      <c r="C253" s="791"/>
      <c r="D253" s="791"/>
      <c r="E253" s="791"/>
      <c r="F253" s="791"/>
      <c r="G253" s="791"/>
      <c r="H253" s="792"/>
      <c r="I253" s="547">
        <v>0.5</v>
      </c>
      <c r="J253" s="16"/>
      <c r="K253" s="48">
        <f t="shared" si="21"/>
        <v>0</v>
      </c>
      <c r="L253" s="17"/>
      <c r="M253" s="45">
        <f t="shared" si="23"/>
        <v>0</v>
      </c>
      <c r="N253" s="143">
        <f t="shared" si="22"/>
        <v>0</v>
      </c>
    </row>
    <row r="254" spans="2:14" x14ac:dyDescent="0.25">
      <c r="B254" s="144"/>
      <c r="C254" s="793" t="s">
        <v>4009</v>
      </c>
      <c r="D254" s="793"/>
      <c r="E254" s="793"/>
      <c r="F254" s="793"/>
      <c r="G254" s="793"/>
      <c r="H254" s="793"/>
      <c r="I254" s="793"/>
      <c r="J254" s="793"/>
      <c r="K254" s="793"/>
      <c r="L254" s="794"/>
      <c r="M254" s="45">
        <f>SUM(M232:M253)</f>
        <v>0</v>
      </c>
      <c r="N254" s="145">
        <f>SUM(N232:N253)</f>
        <v>0</v>
      </c>
    </row>
    <row r="255" spans="2:14" x14ac:dyDescent="0.25">
      <c r="B255" s="146"/>
      <c r="C255" s="795" t="s">
        <v>4010</v>
      </c>
      <c r="D255" s="795"/>
      <c r="E255" s="795"/>
      <c r="F255" s="795"/>
      <c r="G255" s="795"/>
      <c r="H255" s="795"/>
      <c r="I255" s="795"/>
      <c r="J255" s="795"/>
      <c r="K255" s="795"/>
      <c r="L255" s="796"/>
      <c r="M255" s="45">
        <f>SUM(M229,M254)</f>
        <v>0</v>
      </c>
      <c r="N255" s="147">
        <f>SUM(N229,N254)</f>
        <v>0</v>
      </c>
    </row>
    <row r="256" spans="2:14" x14ac:dyDescent="0.25">
      <c r="B256" s="734" t="s">
        <v>4011</v>
      </c>
      <c r="C256" s="735"/>
      <c r="D256" s="735"/>
      <c r="E256" s="735"/>
      <c r="F256" s="735"/>
      <c r="G256" s="735"/>
      <c r="H256" s="735"/>
      <c r="I256" s="735"/>
      <c r="J256" s="735"/>
      <c r="K256" s="735"/>
      <c r="L256" s="735"/>
      <c r="M256" s="735"/>
      <c r="N256" s="736"/>
    </row>
    <row r="257" spans="2:14" x14ac:dyDescent="0.25">
      <c r="B257" s="805" t="s">
        <v>3978</v>
      </c>
      <c r="C257" s="805"/>
      <c r="D257" s="805"/>
      <c r="E257" s="805"/>
      <c r="F257" s="805"/>
      <c r="G257" s="805"/>
      <c r="H257" s="805"/>
      <c r="I257" s="805"/>
      <c r="J257" s="805"/>
      <c r="K257" s="805"/>
      <c r="L257" s="805"/>
      <c r="M257" s="797" t="s">
        <v>3909</v>
      </c>
      <c r="N257" s="797"/>
    </row>
    <row r="258" spans="2:14" x14ac:dyDescent="0.25">
      <c r="B258" s="798" t="s">
        <v>3979</v>
      </c>
      <c r="C258" s="799"/>
      <c r="D258" s="799"/>
      <c r="E258" s="799"/>
      <c r="F258" s="799"/>
      <c r="G258" s="799"/>
      <c r="H258" s="799"/>
      <c r="I258" s="799"/>
      <c r="J258" s="800"/>
      <c r="K258" s="136" t="s">
        <v>3980</v>
      </c>
      <c r="L258" s="136" t="s">
        <v>3981</v>
      </c>
      <c r="M258" s="136" t="s">
        <v>3982</v>
      </c>
      <c r="N258" s="138" t="s">
        <v>3794</v>
      </c>
    </row>
    <row r="259" spans="2:14" x14ac:dyDescent="0.25">
      <c r="B259" s="806" t="s">
        <v>4012</v>
      </c>
      <c r="C259" s="807"/>
      <c r="D259" s="807"/>
      <c r="E259" s="807"/>
      <c r="F259" s="807"/>
      <c r="G259" s="807"/>
      <c r="H259" s="807"/>
      <c r="I259" s="807"/>
      <c r="J259" s="808"/>
      <c r="K259" s="490"/>
      <c r="L259" s="17"/>
      <c r="M259" s="45">
        <f>N259</f>
        <v>0</v>
      </c>
      <c r="N259" s="143">
        <f>K259*L259</f>
        <v>0</v>
      </c>
    </row>
    <row r="260" spans="2:14" x14ac:dyDescent="0.25">
      <c r="B260" s="798" t="s">
        <v>3984</v>
      </c>
      <c r="C260" s="799"/>
      <c r="D260" s="799"/>
      <c r="E260" s="799"/>
      <c r="F260" s="799"/>
      <c r="G260" s="799"/>
      <c r="H260" s="800"/>
      <c r="I260" s="532" t="s">
        <v>3985</v>
      </c>
      <c r="J260" s="136" t="s">
        <v>3986</v>
      </c>
      <c r="K260" s="136" t="s">
        <v>3987</v>
      </c>
      <c r="L260" s="136" t="s">
        <v>3981</v>
      </c>
      <c r="M260" s="136" t="s">
        <v>3982</v>
      </c>
      <c r="N260" s="138" t="s">
        <v>3794</v>
      </c>
    </row>
    <row r="261" spans="2:14" x14ac:dyDescent="0.25">
      <c r="B261" s="139">
        <v>1</v>
      </c>
      <c r="C261" s="791"/>
      <c r="D261" s="791"/>
      <c r="E261" s="791"/>
      <c r="F261" s="791"/>
      <c r="G261" s="791"/>
      <c r="H261" s="792"/>
      <c r="I261" s="547">
        <v>0.5</v>
      </c>
      <c r="J261" s="16"/>
      <c r="K261" s="48">
        <f t="shared" ref="K261:K280" si="24">IF(OR(I261=0,J261=0),0,IF((((($L$6^2*I261^2)/$H$6^2)*J261)/((($L$6^2*I261^2)/$H$6^2)+J261))&lt;(($L$6^2*I261^2)/$H$6^2),ROUND((((($L$6^2*I261^2)/$H$6^2)*J261)/((($L$6^2*I261^2)/$H$6^2)+J261)),0),ROUND((($L$6^2*I261^2)/$H$6^2),0)))</f>
        <v>0</v>
      </c>
      <c r="L261" s="17"/>
      <c r="M261" s="45">
        <f>N261</f>
        <v>0</v>
      </c>
      <c r="N261" s="143">
        <f t="shared" ref="N261:N280" si="25">K261*L261</f>
        <v>0</v>
      </c>
    </row>
    <row r="262" spans="2:14" x14ac:dyDescent="0.25">
      <c r="B262" s="139">
        <v>2</v>
      </c>
      <c r="C262" s="791"/>
      <c r="D262" s="791"/>
      <c r="E262" s="791"/>
      <c r="F262" s="791"/>
      <c r="G262" s="791"/>
      <c r="H262" s="792"/>
      <c r="I262" s="547">
        <v>0.5</v>
      </c>
      <c r="J262" s="16"/>
      <c r="K262" s="48">
        <f t="shared" si="24"/>
        <v>0</v>
      </c>
      <c r="L262" s="17"/>
      <c r="M262" s="45">
        <f>N262</f>
        <v>0</v>
      </c>
      <c r="N262" s="143">
        <f t="shared" si="25"/>
        <v>0</v>
      </c>
    </row>
    <row r="263" spans="2:14" x14ac:dyDescent="0.25">
      <c r="B263" s="139">
        <v>3</v>
      </c>
      <c r="C263" s="791"/>
      <c r="D263" s="791"/>
      <c r="E263" s="791"/>
      <c r="F263" s="791"/>
      <c r="G263" s="791"/>
      <c r="H263" s="792"/>
      <c r="I263" s="547">
        <v>0.5</v>
      </c>
      <c r="J263" s="16"/>
      <c r="K263" s="48">
        <f t="shared" si="24"/>
        <v>0</v>
      </c>
      <c r="L263" s="17"/>
      <c r="M263" s="45">
        <f t="shared" ref="M263:M280" si="26">N263</f>
        <v>0</v>
      </c>
      <c r="N263" s="143">
        <f t="shared" si="25"/>
        <v>0</v>
      </c>
    </row>
    <row r="264" spans="2:14" x14ac:dyDescent="0.25">
      <c r="B264" s="139">
        <v>4</v>
      </c>
      <c r="C264" s="791"/>
      <c r="D264" s="791"/>
      <c r="E264" s="791"/>
      <c r="F264" s="791"/>
      <c r="G264" s="791"/>
      <c r="H264" s="792"/>
      <c r="I264" s="547">
        <v>0.5</v>
      </c>
      <c r="J264" s="16"/>
      <c r="K264" s="48">
        <f t="shared" si="24"/>
        <v>0</v>
      </c>
      <c r="L264" s="17"/>
      <c r="M264" s="45">
        <f t="shared" si="26"/>
        <v>0</v>
      </c>
      <c r="N264" s="143">
        <f t="shared" si="25"/>
        <v>0</v>
      </c>
    </row>
    <row r="265" spans="2:14" x14ac:dyDescent="0.25">
      <c r="B265" s="139">
        <v>5</v>
      </c>
      <c r="C265" s="791"/>
      <c r="D265" s="791"/>
      <c r="E265" s="791"/>
      <c r="F265" s="791"/>
      <c r="G265" s="791"/>
      <c r="H265" s="792"/>
      <c r="I265" s="547">
        <v>0.5</v>
      </c>
      <c r="J265" s="16"/>
      <c r="K265" s="48">
        <f t="shared" si="24"/>
        <v>0</v>
      </c>
      <c r="L265" s="17"/>
      <c r="M265" s="45">
        <f t="shared" si="26"/>
        <v>0</v>
      </c>
      <c r="N265" s="143">
        <f t="shared" si="25"/>
        <v>0</v>
      </c>
    </row>
    <row r="266" spans="2:14" x14ac:dyDescent="0.25">
      <c r="B266" s="139">
        <v>6</v>
      </c>
      <c r="C266" s="791"/>
      <c r="D266" s="791"/>
      <c r="E266" s="791"/>
      <c r="F266" s="791"/>
      <c r="G266" s="791"/>
      <c r="H266" s="792"/>
      <c r="I266" s="547">
        <v>0.5</v>
      </c>
      <c r="J266" s="16"/>
      <c r="K266" s="48">
        <f t="shared" si="24"/>
        <v>0</v>
      </c>
      <c r="L266" s="17"/>
      <c r="M266" s="45">
        <f t="shared" si="26"/>
        <v>0</v>
      </c>
      <c r="N266" s="143">
        <f t="shared" si="25"/>
        <v>0</v>
      </c>
    </row>
    <row r="267" spans="2:14" x14ac:dyDescent="0.25">
      <c r="B267" s="139">
        <v>7</v>
      </c>
      <c r="C267" s="791"/>
      <c r="D267" s="791"/>
      <c r="E267" s="791"/>
      <c r="F267" s="791"/>
      <c r="G267" s="791"/>
      <c r="H267" s="792"/>
      <c r="I267" s="547">
        <v>0.5</v>
      </c>
      <c r="J267" s="16"/>
      <c r="K267" s="48">
        <f t="shared" si="24"/>
        <v>0</v>
      </c>
      <c r="L267" s="17"/>
      <c r="M267" s="45">
        <f t="shared" si="26"/>
        <v>0</v>
      </c>
      <c r="N267" s="143">
        <f t="shared" si="25"/>
        <v>0</v>
      </c>
    </row>
    <row r="268" spans="2:14" x14ac:dyDescent="0.25">
      <c r="B268" s="139">
        <v>8</v>
      </c>
      <c r="C268" s="791"/>
      <c r="D268" s="791"/>
      <c r="E268" s="791"/>
      <c r="F268" s="791"/>
      <c r="G268" s="791"/>
      <c r="H268" s="792"/>
      <c r="I268" s="547">
        <v>0.5</v>
      </c>
      <c r="J268" s="16"/>
      <c r="K268" s="48">
        <f t="shared" si="24"/>
        <v>0</v>
      </c>
      <c r="L268" s="17"/>
      <c r="M268" s="45">
        <f t="shared" si="26"/>
        <v>0</v>
      </c>
      <c r="N268" s="143">
        <f t="shared" si="25"/>
        <v>0</v>
      </c>
    </row>
    <row r="269" spans="2:14" x14ac:dyDescent="0.25">
      <c r="B269" s="139">
        <v>9</v>
      </c>
      <c r="C269" s="791"/>
      <c r="D269" s="791"/>
      <c r="E269" s="791"/>
      <c r="F269" s="791"/>
      <c r="G269" s="791"/>
      <c r="H269" s="792"/>
      <c r="I269" s="547">
        <v>0.5</v>
      </c>
      <c r="J269" s="16"/>
      <c r="K269" s="48">
        <f t="shared" si="24"/>
        <v>0</v>
      </c>
      <c r="L269" s="17"/>
      <c r="M269" s="45">
        <f t="shared" si="26"/>
        <v>0</v>
      </c>
      <c r="N269" s="143">
        <f t="shared" si="25"/>
        <v>0</v>
      </c>
    </row>
    <row r="270" spans="2:14" x14ac:dyDescent="0.25">
      <c r="B270" s="139">
        <v>10</v>
      </c>
      <c r="C270" s="791"/>
      <c r="D270" s="791"/>
      <c r="E270" s="791"/>
      <c r="F270" s="791"/>
      <c r="G270" s="791"/>
      <c r="H270" s="792"/>
      <c r="I270" s="547">
        <v>0.5</v>
      </c>
      <c r="J270" s="16"/>
      <c r="K270" s="48">
        <f t="shared" si="24"/>
        <v>0</v>
      </c>
      <c r="L270" s="17"/>
      <c r="M270" s="45">
        <f t="shared" si="26"/>
        <v>0</v>
      </c>
      <c r="N270" s="143">
        <f t="shared" si="25"/>
        <v>0</v>
      </c>
    </row>
    <row r="271" spans="2:14" x14ac:dyDescent="0.25">
      <c r="B271" s="139">
        <v>11</v>
      </c>
      <c r="C271" s="791"/>
      <c r="D271" s="791"/>
      <c r="E271" s="791"/>
      <c r="F271" s="791"/>
      <c r="G271" s="791"/>
      <c r="H271" s="792"/>
      <c r="I271" s="547">
        <v>0.5</v>
      </c>
      <c r="J271" s="16"/>
      <c r="K271" s="48">
        <f t="shared" si="24"/>
        <v>0</v>
      </c>
      <c r="L271" s="17"/>
      <c r="M271" s="45">
        <f t="shared" si="26"/>
        <v>0</v>
      </c>
      <c r="N271" s="143">
        <f t="shared" si="25"/>
        <v>0</v>
      </c>
    </row>
    <row r="272" spans="2:14" x14ac:dyDescent="0.25">
      <c r="B272" s="139">
        <v>12</v>
      </c>
      <c r="C272" s="791"/>
      <c r="D272" s="791"/>
      <c r="E272" s="791"/>
      <c r="F272" s="791"/>
      <c r="G272" s="791"/>
      <c r="H272" s="792"/>
      <c r="I272" s="547">
        <v>0.5</v>
      </c>
      <c r="J272" s="16"/>
      <c r="K272" s="48">
        <f t="shared" si="24"/>
        <v>0</v>
      </c>
      <c r="L272" s="17"/>
      <c r="M272" s="45">
        <f t="shared" si="26"/>
        <v>0</v>
      </c>
      <c r="N272" s="143">
        <f t="shared" si="25"/>
        <v>0</v>
      </c>
    </row>
    <row r="273" spans="2:14" x14ac:dyDescent="0.25">
      <c r="B273" s="139">
        <v>13</v>
      </c>
      <c r="C273" s="791"/>
      <c r="D273" s="791"/>
      <c r="E273" s="791"/>
      <c r="F273" s="791"/>
      <c r="G273" s="791"/>
      <c r="H273" s="792"/>
      <c r="I273" s="547">
        <v>0.5</v>
      </c>
      <c r="J273" s="16"/>
      <c r="K273" s="48">
        <f t="shared" si="24"/>
        <v>0</v>
      </c>
      <c r="L273" s="17"/>
      <c r="M273" s="45">
        <f t="shared" si="26"/>
        <v>0</v>
      </c>
      <c r="N273" s="143">
        <f t="shared" si="25"/>
        <v>0</v>
      </c>
    </row>
    <row r="274" spans="2:14" x14ac:dyDescent="0.25">
      <c r="B274" s="139">
        <v>14</v>
      </c>
      <c r="C274" s="791"/>
      <c r="D274" s="791"/>
      <c r="E274" s="791"/>
      <c r="F274" s="791"/>
      <c r="G274" s="791"/>
      <c r="H274" s="792"/>
      <c r="I274" s="547">
        <v>0.5</v>
      </c>
      <c r="J274" s="16"/>
      <c r="K274" s="48">
        <f t="shared" si="24"/>
        <v>0</v>
      </c>
      <c r="L274" s="17"/>
      <c r="M274" s="45">
        <f t="shared" si="26"/>
        <v>0</v>
      </c>
      <c r="N274" s="143">
        <f t="shared" si="25"/>
        <v>0</v>
      </c>
    </row>
    <row r="275" spans="2:14" x14ac:dyDescent="0.25">
      <c r="B275" s="139">
        <v>15</v>
      </c>
      <c r="C275" s="791"/>
      <c r="D275" s="791"/>
      <c r="E275" s="791"/>
      <c r="F275" s="791"/>
      <c r="G275" s="791"/>
      <c r="H275" s="792"/>
      <c r="I275" s="547">
        <v>0.5</v>
      </c>
      <c r="J275" s="16"/>
      <c r="K275" s="48">
        <f t="shared" si="24"/>
        <v>0</v>
      </c>
      <c r="L275" s="17"/>
      <c r="M275" s="45">
        <f t="shared" si="26"/>
        <v>0</v>
      </c>
      <c r="N275" s="143">
        <f t="shared" si="25"/>
        <v>0</v>
      </c>
    </row>
    <row r="276" spans="2:14" x14ac:dyDescent="0.25">
      <c r="B276" s="139">
        <v>16</v>
      </c>
      <c r="C276" s="791"/>
      <c r="D276" s="791"/>
      <c r="E276" s="791"/>
      <c r="F276" s="791"/>
      <c r="G276" s="791"/>
      <c r="H276" s="792"/>
      <c r="I276" s="547">
        <v>0.5</v>
      </c>
      <c r="J276" s="16"/>
      <c r="K276" s="48">
        <f t="shared" si="24"/>
        <v>0</v>
      </c>
      <c r="L276" s="17"/>
      <c r="M276" s="45">
        <f t="shared" si="26"/>
        <v>0</v>
      </c>
      <c r="N276" s="143">
        <f t="shared" si="25"/>
        <v>0</v>
      </c>
    </row>
    <row r="277" spans="2:14" x14ac:dyDescent="0.25">
      <c r="B277" s="139">
        <v>17</v>
      </c>
      <c r="C277" s="791"/>
      <c r="D277" s="791"/>
      <c r="E277" s="791"/>
      <c r="F277" s="791"/>
      <c r="G277" s="791"/>
      <c r="H277" s="792"/>
      <c r="I277" s="547">
        <v>0.5</v>
      </c>
      <c r="J277" s="16"/>
      <c r="K277" s="48">
        <f t="shared" si="24"/>
        <v>0</v>
      </c>
      <c r="L277" s="17"/>
      <c r="M277" s="45">
        <f t="shared" si="26"/>
        <v>0</v>
      </c>
      <c r="N277" s="143">
        <f t="shared" si="25"/>
        <v>0</v>
      </c>
    </row>
    <row r="278" spans="2:14" x14ac:dyDescent="0.25">
      <c r="B278" s="139">
        <v>18</v>
      </c>
      <c r="C278" s="791"/>
      <c r="D278" s="791"/>
      <c r="E278" s="791"/>
      <c r="F278" s="791"/>
      <c r="G278" s="791"/>
      <c r="H278" s="792"/>
      <c r="I278" s="547">
        <v>0.5</v>
      </c>
      <c r="J278" s="16"/>
      <c r="K278" s="48">
        <f t="shared" si="24"/>
        <v>0</v>
      </c>
      <c r="L278" s="17"/>
      <c r="M278" s="45">
        <f t="shared" si="26"/>
        <v>0</v>
      </c>
      <c r="N278" s="143">
        <f t="shared" si="25"/>
        <v>0</v>
      </c>
    </row>
    <row r="279" spans="2:14" x14ac:dyDescent="0.25">
      <c r="B279" s="139">
        <v>19</v>
      </c>
      <c r="C279" s="791"/>
      <c r="D279" s="791"/>
      <c r="E279" s="791"/>
      <c r="F279" s="791"/>
      <c r="G279" s="791"/>
      <c r="H279" s="792"/>
      <c r="I279" s="547">
        <v>0.5</v>
      </c>
      <c r="J279" s="16"/>
      <c r="K279" s="48">
        <f t="shared" si="24"/>
        <v>0</v>
      </c>
      <c r="L279" s="17"/>
      <c r="M279" s="45">
        <f t="shared" si="26"/>
        <v>0</v>
      </c>
      <c r="N279" s="143">
        <f t="shared" si="25"/>
        <v>0</v>
      </c>
    </row>
    <row r="280" spans="2:14" x14ac:dyDescent="0.25">
      <c r="B280" s="139">
        <v>20</v>
      </c>
      <c r="C280" s="791"/>
      <c r="D280" s="791"/>
      <c r="E280" s="791"/>
      <c r="F280" s="791"/>
      <c r="G280" s="791"/>
      <c r="H280" s="792"/>
      <c r="I280" s="547">
        <v>0.5</v>
      </c>
      <c r="J280" s="16"/>
      <c r="K280" s="48">
        <f t="shared" si="24"/>
        <v>0</v>
      </c>
      <c r="L280" s="17"/>
      <c r="M280" s="45">
        <f t="shared" si="26"/>
        <v>0</v>
      </c>
      <c r="N280" s="143">
        <f t="shared" si="25"/>
        <v>0</v>
      </c>
    </row>
    <row r="281" spans="2:14" x14ac:dyDescent="0.25">
      <c r="B281" s="144"/>
      <c r="C281" s="793" t="s">
        <v>4013</v>
      </c>
      <c r="D281" s="793"/>
      <c r="E281" s="793"/>
      <c r="F281" s="793"/>
      <c r="G281" s="793"/>
      <c r="H281" s="793"/>
      <c r="I281" s="793"/>
      <c r="J281" s="793"/>
      <c r="K281" s="793"/>
      <c r="L281" s="794"/>
      <c r="M281" s="145">
        <f>SUM(M259:M280)</f>
        <v>0</v>
      </c>
      <c r="N281" s="145">
        <f>SUM(N259:N280)</f>
        <v>0</v>
      </c>
    </row>
    <row r="282" spans="2:14" x14ac:dyDescent="0.25">
      <c r="B282" s="805" t="s">
        <v>3989</v>
      </c>
      <c r="C282" s="805"/>
      <c r="D282" s="805"/>
      <c r="E282" s="805"/>
      <c r="F282" s="805"/>
      <c r="G282" s="805"/>
      <c r="H282" s="805"/>
      <c r="I282" s="805"/>
      <c r="J282" s="805"/>
      <c r="K282" s="805"/>
      <c r="L282" s="805"/>
      <c r="M282" s="797" t="s">
        <v>3909</v>
      </c>
      <c r="N282" s="797"/>
    </row>
    <row r="283" spans="2:14" x14ac:dyDescent="0.25">
      <c r="B283" s="798" t="s">
        <v>3979</v>
      </c>
      <c r="C283" s="799"/>
      <c r="D283" s="799"/>
      <c r="E283" s="799"/>
      <c r="F283" s="799"/>
      <c r="G283" s="799"/>
      <c r="H283" s="799"/>
      <c r="I283" s="799"/>
      <c r="J283" s="800"/>
      <c r="K283" s="136" t="s">
        <v>3980</v>
      </c>
      <c r="L283" s="136" t="s">
        <v>3981</v>
      </c>
      <c r="M283" s="136" t="s">
        <v>3982</v>
      </c>
      <c r="N283" s="138" t="s">
        <v>3794</v>
      </c>
    </row>
    <row r="284" spans="2:14" x14ac:dyDescent="0.25">
      <c r="B284" s="801" t="s">
        <v>4014</v>
      </c>
      <c r="C284" s="802"/>
      <c r="D284" s="802"/>
      <c r="E284" s="802"/>
      <c r="F284" s="802"/>
      <c r="G284" s="802"/>
      <c r="H284" s="802"/>
      <c r="I284" s="802"/>
      <c r="J284" s="803"/>
      <c r="K284" s="490"/>
      <c r="L284" s="17"/>
      <c r="M284" s="45">
        <f>N284</f>
        <v>0</v>
      </c>
      <c r="N284" s="143">
        <f>K284*L284</f>
        <v>0</v>
      </c>
    </row>
    <row r="285" spans="2:14" x14ac:dyDescent="0.25">
      <c r="B285" s="798" t="s">
        <v>3984</v>
      </c>
      <c r="C285" s="799"/>
      <c r="D285" s="799"/>
      <c r="E285" s="799"/>
      <c r="F285" s="799"/>
      <c r="G285" s="799"/>
      <c r="H285" s="800"/>
      <c r="I285" s="532" t="s">
        <v>3985</v>
      </c>
      <c r="J285" s="136" t="s">
        <v>3986</v>
      </c>
      <c r="K285" s="136" t="s">
        <v>3987</v>
      </c>
      <c r="L285" s="136" t="s">
        <v>3981</v>
      </c>
      <c r="M285" s="136" t="s">
        <v>3982</v>
      </c>
      <c r="N285" s="138" t="s">
        <v>3794</v>
      </c>
    </row>
    <row r="286" spans="2:14" x14ac:dyDescent="0.25">
      <c r="B286" s="139">
        <v>1</v>
      </c>
      <c r="C286" s="791"/>
      <c r="D286" s="791"/>
      <c r="E286" s="791"/>
      <c r="F286" s="791"/>
      <c r="G286" s="791"/>
      <c r="H286" s="792"/>
      <c r="I286" s="547">
        <v>0.5</v>
      </c>
      <c r="J286" s="16"/>
      <c r="K286" s="48">
        <f t="shared" ref="K286:K305" si="27">IF(OR(I286=0,J286=0),0,IF((((($L$6^2*I286^2)/$H$6^2)*J286)/((($L$6^2*I286^2)/$H$6^2)+J286))&lt;(($L$6^2*I286^2)/$H$6^2),ROUND((((($L$6^2*I286^2)/$H$6^2)*J286)/((($L$6^2*I286^2)/$H$6^2)+J286)),0),ROUND((($L$6^2*I286^2)/$H$6^2),0)))</f>
        <v>0</v>
      </c>
      <c r="L286" s="17"/>
      <c r="M286" s="45">
        <f>N286</f>
        <v>0</v>
      </c>
      <c r="N286" s="143">
        <f t="shared" ref="N286:N305" si="28">K286*L286</f>
        <v>0</v>
      </c>
    </row>
    <row r="287" spans="2:14" x14ac:dyDescent="0.25">
      <c r="B287" s="139">
        <v>2</v>
      </c>
      <c r="C287" s="791"/>
      <c r="D287" s="791"/>
      <c r="E287" s="791"/>
      <c r="F287" s="791"/>
      <c r="G287" s="791"/>
      <c r="H287" s="792"/>
      <c r="I287" s="547">
        <v>0.5</v>
      </c>
      <c r="J287" s="16"/>
      <c r="K287" s="48">
        <f t="shared" si="27"/>
        <v>0</v>
      </c>
      <c r="L287" s="17"/>
      <c r="M287" s="45">
        <f>N287</f>
        <v>0</v>
      </c>
      <c r="N287" s="143">
        <f t="shared" si="28"/>
        <v>0</v>
      </c>
    </row>
    <row r="288" spans="2:14" x14ac:dyDescent="0.25">
      <c r="B288" s="139">
        <v>3</v>
      </c>
      <c r="C288" s="791"/>
      <c r="D288" s="791"/>
      <c r="E288" s="791"/>
      <c r="F288" s="791"/>
      <c r="G288" s="791"/>
      <c r="H288" s="792"/>
      <c r="I288" s="547">
        <v>0.5</v>
      </c>
      <c r="J288" s="16"/>
      <c r="K288" s="48">
        <f t="shared" si="27"/>
        <v>0</v>
      </c>
      <c r="L288" s="17"/>
      <c r="M288" s="45">
        <f t="shared" ref="M288:M305" si="29">N288</f>
        <v>0</v>
      </c>
      <c r="N288" s="143">
        <f t="shared" si="28"/>
        <v>0</v>
      </c>
    </row>
    <row r="289" spans="2:14" x14ac:dyDescent="0.25">
      <c r="B289" s="139">
        <v>4</v>
      </c>
      <c r="C289" s="791"/>
      <c r="D289" s="791"/>
      <c r="E289" s="791"/>
      <c r="F289" s="791"/>
      <c r="G289" s="791"/>
      <c r="H289" s="792"/>
      <c r="I289" s="547">
        <v>0.5</v>
      </c>
      <c r="J289" s="16"/>
      <c r="K289" s="48">
        <f t="shared" si="27"/>
        <v>0</v>
      </c>
      <c r="L289" s="17"/>
      <c r="M289" s="45">
        <f t="shared" si="29"/>
        <v>0</v>
      </c>
      <c r="N289" s="143">
        <f t="shared" si="28"/>
        <v>0</v>
      </c>
    </row>
    <row r="290" spans="2:14" x14ac:dyDescent="0.25">
      <c r="B290" s="139">
        <v>5</v>
      </c>
      <c r="C290" s="791"/>
      <c r="D290" s="791"/>
      <c r="E290" s="791"/>
      <c r="F290" s="791"/>
      <c r="G290" s="791"/>
      <c r="H290" s="792"/>
      <c r="I290" s="547">
        <v>0.5</v>
      </c>
      <c r="J290" s="16"/>
      <c r="K290" s="48">
        <f t="shared" si="27"/>
        <v>0</v>
      </c>
      <c r="L290" s="17"/>
      <c r="M290" s="45">
        <f t="shared" si="29"/>
        <v>0</v>
      </c>
      <c r="N290" s="143">
        <f t="shared" si="28"/>
        <v>0</v>
      </c>
    </row>
    <row r="291" spans="2:14" x14ac:dyDescent="0.25">
      <c r="B291" s="139">
        <v>6</v>
      </c>
      <c r="C291" s="791"/>
      <c r="D291" s="791"/>
      <c r="E291" s="791"/>
      <c r="F291" s="791"/>
      <c r="G291" s="791"/>
      <c r="H291" s="792"/>
      <c r="I291" s="547">
        <v>0.5</v>
      </c>
      <c r="J291" s="16"/>
      <c r="K291" s="48">
        <f t="shared" si="27"/>
        <v>0</v>
      </c>
      <c r="L291" s="17"/>
      <c r="M291" s="45">
        <f t="shared" si="29"/>
        <v>0</v>
      </c>
      <c r="N291" s="143">
        <f t="shared" si="28"/>
        <v>0</v>
      </c>
    </row>
    <row r="292" spans="2:14" x14ac:dyDescent="0.25">
      <c r="B292" s="139">
        <v>7</v>
      </c>
      <c r="C292" s="791"/>
      <c r="D292" s="791"/>
      <c r="E292" s="791"/>
      <c r="F292" s="791"/>
      <c r="G292" s="791"/>
      <c r="H292" s="792"/>
      <c r="I292" s="547">
        <v>0.5</v>
      </c>
      <c r="J292" s="16"/>
      <c r="K292" s="48">
        <f t="shared" si="27"/>
        <v>0</v>
      </c>
      <c r="L292" s="17"/>
      <c r="M292" s="45">
        <f t="shared" si="29"/>
        <v>0</v>
      </c>
      <c r="N292" s="143">
        <f t="shared" si="28"/>
        <v>0</v>
      </c>
    </row>
    <row r="293" spans="2:14" x14ac:dyDescent="0.25">
      <c r="B293" s="139">
        <v>8</v>
      </c>
      <c r="C293" s="791"/>
      <c r="D293" s="791"/>
      <c r="E293" s="791"/>
      <c r="F293" s="791"/>
      <c r="G293" s="791"/>
      <c r="H293" s="792"/>
      <c r="I293" s="547">
        <v>0.5</v>
      </c>
      <c r="J293" s="16"/>
      <c r="K293" s="48">
        <f t="shared" si="27"/>
        <v>0</v>
      </c>
      <c r="L293" s="17"/>
      <c r="M293" s="45">
        <f t="shared" si="29"/>
        <v>0</v>
      </c>
      <c r="N293" s="143">
        <f t="shared" si="28"/>
        <v>0</v>
      </c>
    </row>
    <row r="294" spans="2:14" x14ac:dyDescent="0.25">
      <c r="B294" s="139">
        <v>9</v>
      </c>
      <c r="C294" s="791"/>
      <c r="D294" s="791"/>
      <c r="E294" s="791"/>
      <c r="F294" s="791"/>
      <c r="G294" s="791"/>
      <c r="H294" s="792"/>
      <c r="I294" s="547">
        <v>0.5</v>
      </c>
      <c r="J294" s="16"/>
      <c r="K294" s="48">
        <f t="shared" si="27"/>
        <v>0</v>
      </c>
      <c r="L294" s="17"/>
      <c r="M294" s="45">
        <f t="shared" si="29"/>
        <v>0</v>
      </c>
      <c r="N294" s="143">
        <f t="shared" si="28"/>
        <v>0</v>
      </c>
    </row>
    <row r="295" spans="2:14" x14ac:dyDescent="0.25">
      <c r="B295" s="139">
        <v>10</v>
      </c>
      <c r="C295" s="791"/>
      <c r="D295" s="791"/>
      <c r="E295" s="791"/>
      <c r="F295" s="791"/>
      <c r="G295" s="791"/>
      <c r="H295" s="792"/>
      <c r="I295" s="547">
        <v>0.5</v>
      </c>
      <c r="J295" s="16"/>
      <c r="K295" s="48">
        <f t="shared" si="27"/>
        <v>0</v>
      </c>
      <c r="L295" s="17"/>
      <c r="M295" s="45">
        <f t="shared" si="29"/>
        <v>0</v>
      </c>
      <c r="N295" s="143">
        <f t="shared" si="28"/>
        <v>0</v>
      </c>
    </row>
    <row r="296" spans="2:14" x14ac:dyDescent="0.25">
      <c r="B296" s="139">
        <v>11</v>
      </c>
      <c r="C296" s="791"/>
      <c r="D296" s="791"/>
      <c r="E296" s="791"/>
      <c r="F296" s="791"/>
      <c r="G296" s="791"/>
      <c r="H296" s="792"/>
      <c r="I296" s="547">
        <v>0.5</v>
      </c>
      <c r="J296" s="16"/>
      <c r="K296" s="48">
        <f t="shared" si="27"/>
        <v>0</v>
      </c>
      <c r="L296" s="17"/>
      <c r="M296" s="45">
        <f t="shared" si="29"/>
        <v>0</v>
      </c>
      <c r="N296" s="143">
        <f t="shared" si="28"/>
        <v>0</v>
      </c>
    </row>
    <row r="297" spans="2:14" x14ac:dyDescent="0.25">
      <c r="B297" s="139">
        <v>12</v>
      </c>
      <c r="C297" s="791"/>
      <c r="D297" s="791"/>
      <c r="E297" s="791"/>
      <c r="F297" s="791"/>
      <c r="G297" s="791"/>
      <c r="H297" s="792"/>
      <c r="I297" s="547">
        <v>0.5</v>
      </c>
      <c r="J297" s="16"/>
      <c r="K297" s="48">
        <f t="shared" si="27"/>
        <v>0</v>
      </c>
      <c r="L297" s="17"/>
      <c r="M297" s="45">
        <f t="shared" si="29"/>
        <v>0</v>
      </c>
      <c r="N297" s="143">
        <f t="shared" si="28"/>
        <v>0</v>
      </c>
    </row>
    <row r="298" spans="2:14" x14ac:dyDescent="0.25">
      <c r="B298" s="139">
        <v>13</v>
      </c>
      <c r="C298" s="791"/>
      <c r="D298" s="791"/>
      <c r="E298" s="791"/>
      <c r="F298" s="791"/>
      <c r="G298" s="791"/>
      <c r="H298" s="792"/>
      <c r="I298" s="547">
        <v>0.5</v>
      </c>
      <c r="J298" s="16"/>
      <c r="K298" s="48">
        <f t="shared" si="27"/>
        <v>0</v>
      </c>
      <c r="L298" s="17"/>
      <c r="M298" s="45">
        <f t="shared" si="29"/>
        <v>0</v>
      </c>
      <c r="N298" s="143">
        <f t="shared" si="28"/>
        <v>0</v>
      </c>
    </row>
    <row r="299" spans="2:14" x14ac:dyDescent="0.25">
      <c r="B299" s="139">
        <v>14</v>
      </c>
      <c r="C299" s="791"/>
      <c r="D299" s="791"/>
      <c r="E299" s="791"/>
      <c r="F299" s="791"/>
      <c r="G299" s="791"/>
      <c r="H299" s="792"/>
      <c r="I299" s="547">
        <v>0.5</v>
      </c>
      <c r="J299" s="16"/>
      <c r="K299" s="48">
        <f t="shared" si="27"/>
        <v>0</v>
      </c>
      <c r="L299" s="17"/>
      <c r="M299" s="45">
        <f t="shared" si="29"/>
        <v>0</v>
      </c>
      <c r="N299" s="143">
        <f t="shared" si="28"/>
        <v>0</v>
      </c>
    </row>
    <row r="300" spans="2:14" x14ac:dyDescent="0.25">
      <c r="B300" s="139">
        <v>15</v>
      </c>
      <c r="C300" s="791"/>
      <c r="D300" s="791"/>
      <c r="E300" s="791"/>
      <c r="F300" s="791"/>
      <c r="G300" s="791"/>
      <c r="H300" s="792"/>
      <c r="I300" s="547">
        <v>0.5</v>
      </c>
      <c r="J300" s="16"/>
      <c r="K300" s="48">
        <f t="shared" si="27"/>
        <v>0</v>
      </c>
      <c r="L300" s="17"/>
      <c r="M300" s="45">
        <f t="shared" si="29"/>
        <v>0</v>
      </c>
      <c r="N300" s="143">
        <f t="shared" si="28"/>
        <v>0</v>
      </c>
    </row>
    <row r="301" spans="2:14" x14ac:dyDescent="0.25">
      <c r="B301" s="139">
        <v>16</v>
      </c>
      <c r="C301" s="791"/>
      <c r="D301" s="791"/>
      <c r="E301" s="791"/>
      <c r="F301" s="791"/>
      <c r="G301" s="791"/>
      <c r="H301" s="792"/>
      <c r="I301" s="547">
        <v>0.5</v>
      </c>
      <c r="J301" s="16"/>
      <c r="K301" s="48">
        <f t="shared" si="27"/>
        <v>0</v>
      </c>
      <c r="L301" s="17"/>
      <c r="M301" s="45">
        <f t="shared" si="29"/>
        <v>0</v>
      </c>
      <c r="N301" s="143">
        <f t="shared" si="28"/>
        <v>0</v>
      </c>
    </row>
    <row r="302" spans="2:14" x14ac:dyDescent="0.25">
      <c r="B302" s="139">
        <v>17</v>
      </c>
      <c r="C302" s="791"/>
      <c r="D302" s="791"/>
      <c r="E302" s="791"/>
      <c r="F302" s="791"/>
      <c r="G302" s="791"/>
      <c r="H302" s="792"/>
      <c r="I302" s="547">
        <v>0.5</v>
      </c>
      <c r="J302" s="16"/>
      <c r="K302" s="48">
        <f t="shared" si="27"/>
        <v>0</v>
      </c>
      <c r="L302" s="17"/>
      <c r="M302" s="45">
        <f t="shared" si="29"/>
        <v>0</v>
      </c>
      <c r="N302" s="143">
        <f t="shared" si="28"/>
        <v>0</v>
      </c>
    </row>
    <row r="303" spans="2:14" x14ac:dyDescent="0.25">
      <c r="B303" s="139">
        <v>18</v>
      </c>
      <c r="C303" s="791"/>
      <c r="D303" s="791"/>
      <c r="E303" s="791"/>
      <c r="F303" s="791"/>
      <c r="G303" s="791"/>
      <c r="H303" s="792"/>
      <c r="I303" s="547">
        <v>0.5</v>
      </c>
      <c r="J303" s="16"/>
      <c r="K303" s="48">
        <f t="shared" si="27"/>
        <v>0</v>
      </c>
      <c r="L303" s="17"/>
      <c r="M303" s="45">
        <f t="shared" si="29"/>
        <v>0</v>
      </c>
      <c r="N303" s="143">
        <f t="shared" si="28"/>
        <v>0</v>
      </c>
    </row>
    <row r="304" spans="2:14" x14ac:dyDescent="0.25">
      <c r="B304" s="139">
        <v>19</v>
      </c>
      <c r="C304" s="791"/>
      <c r="D304" s="791"/>
      <c r="E304" s="791"/>
      <c r="F304" s="791"/>
      <c r="G304" s="791"/>
      <c r="H304" s="792"/>
      <c r="I304" s="547">
        <v>0.5</v>
      </c>
      <c r="J304" s="16"/>
      <c r="K304" s="48">
        <f t="shared" si="27"/>
        <v>0</v>
      </c>
      <c r="L304" s="17"/>
      <c r="M304" s="45">
        <f t="shared" si="29"/>
        <v>0</v>
      </c>
      <c r="N304" s="143">
        <f t="shared" si="28"/>
        <v>0</v>
      </c>
    </row>
    <row r="305" spans="2:14" x14ac:dyDescent="0.25">
      <c r="B305" s="139">
        <v>20</v>
      </c>
      <c r="C305" s="791"/>
      <c r="D305" s="791"/>
      <c r="E305" s="791"/>
      <c r="F305" s="791"/>
      <c r="G305" s="791"/>
      <c r="H305" s="792"/>
      <c r="I305" s="547">
        <v>0.5</v>
      </c>
      <c r="J305" s="16"/>
      <c r="K305" s="48">
        <f t="shared" si="27"/>
        <v>0</v>
      </c>
      <c r="L305" s="17"/>
      <c r="M305" s="45">
        <f t="shared" si="29"/>
        <v>0</v>
      </c>
      <c r="N305" s="143">
        <f t="shared" si="28"/>
        <v>0</v>
      </c>
    </row>
    <row r="306" spans="2:14" x14ac:dyDescent="0.25">
      <c r="B306" s="144"/>
      <c r="C306" s="793" t="s">
        <v>4015</v>
      </c>
      <c r="D306" s="793"/>
      <c r="E306" s="793"/>
      <c r="F306" s="793"/>
      <c r="G306" s="793"/>
      <c r="H306" s="793"/>
      <c r="I306" s="793"/>
      <c r="J306" s="793"/>
      <c r="K306" s="793"/>
      <c r="L306" s="794"/>
      <c r="M306" s="145">
        <f>SUM(M284:M305)</f>
        <v>0</v>
      </c>
      <c r="N306" s="145">
        <f>SUM(N284:N305)</f>
        <v>0</v>
      </c>
    </row>
    <row r="307" spans="2:14" x14ac:dyDescent="0.25">
      <c r="B307" s="146"/>
      <c r="C307" s="795" t="s">
        <v>4016</v>
      </c>
      <c r="D307" s="795"/>
      <c r="E307" s="795"/>
      <c r="F307" s="795"/>
      <c r="G307" s="795"/>
      <c r="H307" s="795"/>
      <c r="I307" s="795"/>
      <c r="J307" s="795"/>
      <c r="K307" s="795"/>
      <c r="L307" s="796"/>
      <c r="M307" s="145">
        <f>SUM(M281,M306)</f>
        <v>0</v>
      </c>
      <c r="N307" s="147">
        <f>SUM(N281,N306)</f>
        <v>0</v>
      </c>
    </row>
    <row r="308" spans="2:14" x14ac:dyDescent="0.25">
      <c r="B308" s="734" t="s">
        <v>4017</v>
      </c>
      <c r="C308" s="735"/>
      <c r="D308" s="735"/>
      <c r="E308" s="735"/>
      <c r="F308" s="735"/>
      <c r="G308" s="735"/>
      <c r="H308" s="735"/>
      <c r="I308" s="735"/>
      <c r="J308" s="735"/>
      <c r="K308" s="735"/>
      <c r="L308" s="735"/>
      <c r="M308" s="735"/>
      <c r="N308" s="736"/>
    </row>
    <row r="309" spans="2:14" x14ac:dyDescent="0.25">
      <c r="B309" s="805" t="s">
        <v>3989</v>
      </c>
      <c r="C309" s="805"/>
      <c r="D309" s="805"/>
      <c r="E309" s="805"/>
      <c r="F309" s="805"/>
      <c r="G309" s="805"/>
      <c r="H309" s="805"/>
      <c r="I309" s="805"/>
      <c r="J309" s="805"/>
      <c r="K309" s="805"/>
      <c r="L309" s="805"/>
      <c r="M309" s="797" t="s">
        <v>3909</v>
      </c>
      <c r="N309" s="797"/>
    </row>
    <row r="310" spans="2:14" x14ac:dyDescent="0.25">
      <c r="B310" s="798" t="s">
        <v>3979</v>
      </c>
      <c r="C310" s="799"/>
      <c r="D310" s="799"/>
      <c r="E310" s="799"/>
      <c r="F310" s="799"/>
      <c r="G310" s="799"/>
      <c r="H310" s="799"/>
      <c r="I310" s="799"/>
      <c r="J310" s="800"/>
      <c r="K310" s="136" t="s">
        <v>3980</v>
      </c>
      <c r="L310" s="136" t="s">
        <v>3981</v>
      </c>
      <c r="M310" s="136" t="s">
        <v>3982</v>
      </c>
      <c r="N310" s="138" t="s">
        <v>3794</v>
      </c>
    </row>
    <row r="311" spans="2:14" x14ac:dyDescent="0.25">
      <c r="B311" s="801" t="s">
        <v>4018</v>
      </c>
      <c r="C311" s="802"/>
      <c r="D311" s="802"/>
      <c r="E311" s="802"/>
      <c r="F311" s="802"/>
      <c r="G311" s="802"/>
      <c r="H311" s="802"/>
      <c r="I311" s="802"/>
      <c r="J311" s="803"/>
      <c r="K311" s="490"/>
      <c r="L311" s="17"/>
      <c r="M311" s="45">
        <f>N311</f>
        <v>0</v>
      </c>
      <c r="N311" s="143">
        <f>K311*L311</f>
        <v>0</v>
      </c>
    </row>
    <row r="312" spans="2:14" x14ac:dyDescent="0.25">
      <c r="B312" s="798" t="s">
        <v>3984</v>
      </c>
      <c r="C312" s="799"/>
      <c r="D312" s="799"/>
      <c r="E312" s="799"/>
      <c r="F312" s="799"/>
      <c r="G312" s="799"/>
      <c r="H312" s="799"/>
      <c r="I312" s="800"/>
      <c r="J312" s="136" t="s">
        <v>3986</v>
      </c>
      <c r="K312" s="136" t="s">
        <v>3987</v>
      </c>
      <c r="L312" s="136" t="s">
        <v>3981</v>
      </c>
      <c r="M312" s="136" t="s">
        <v>3982</v>
      </c>
      <c r="N312" s="138" t="s">
        <v>3794</v>
      </c>
    </row>
    <row r="313" spans="2:14" x14ac:dyDescent="0.25">
      <c r="B313" s="139">
        <v>1</v>
      </c>
      <c r="C313" s="791"/>
      <c r="D313" s="791"/>
      <c r="E313" s="791"/>
      <c r="F313" s="791"/>
      <c r="G313" s="791"/>
      <c r="H313" s="791"/>
      <c r="I313" s="792"/>
      <c r="J313" s="16"/>
      <c r="K313" s="411">
        <f>J313</f>
        <v>0</v>
      </c>
      <c r="L313" s="17"/>
      <c r="M313" s="45">
        <f>N313</f>
        <v>0</v>
      </c>
      <c r="N313" s="143">
        <f t="shared" ref="N313:N342" si="30">K313*L313</f>
        <v>0</v>
      </c>
    </row>
    <row r="314" spans="2:14" x14ac:dyDescent="0.25">
      <c r="B314" s="139">
        <v>2</v>
      </c>
      <c r="C314" s="791"/>
      <c r="D314" s="791"/>
      <c r="E314" s="791"/>
      <c r="F314" s="791"/>
      <c r="G314" s="791"/>
      <c r="H314" s="791"/>
      <c r="I314" s="792"/>
      <c r="J314" s="16"/>
      <c r="K314" s="411">
        <f>J314</f>
        <v>0</v>
      </c>
      <c r="L314" s="17"/>
      <c r="M314" s="45">
        <f>N314</f>
        <v>0</v>
      </c>
      <c r="N314" s="143">
        <f t="shared" si="30"/>
        <v>0</v>
      </c>
    </row>
    <row r="315" spans="2:14" x14ac:dyDescent="0.25">
      <c r="B315" s="139">
        <v>3</v>
      </c>
      <c r="C315" s="791"/>
      <c r="D315" s="791"/>
      <c r="E315" s="791"/>
      <c r="F315" s="791"/>
      <c r="G315" s="791"/>
      <c r="H315" s="791"/>
      <c r="I315" s="792"/>
      <c r="J315" s="16"/>
      <c r="K315" s="411">
        <f t="shared" ref="K315:K342" si="31">J315</f>
        <v>0</v>
      </c>
      <c r="L315" s="17"/>
      <c r="M315" s="45">
        <f t="shared" ref="M315:M342" si="32">N315</f>
        <v>0</v>
      </c>
      <c r="N315" s="143">
        <f t="shared" si="30"/>
        <v>0</v>
      </c>
    </row>
    <row r="316" spans="2:14" x14ac:dyDescent="0.25">
      <c r="B316" s="139">
        <v>4</v>
      </c>
      <c r="C316" s="791"/>
      <c r="D316" s="791"/>
      <c r="E316" s="791"/>
      <c r="F316" s="791"/>
      <c r="G316" s="791"/>
      <c r="H316" s="791"/>
      <c r="I316" s="792"/>
      <c r="J316" s="16"/>
      <c r="K316" s="411">
        <f t="shared" si="31"/>
        <v>0</v>
      </c>
      <c r="L316" s="17"/>
      <c r="M316" s="45">
        <f t="shared" si="32"/>
        <v>0</v>
      </c>
      <c r="N316" s="143">
        <f t="shared" si="30"/>
        <v>0</v>
      </c>
    </row>
    <row r="317" spans="2:14" x14ac:dyDescent="0.25">
      <c r="B317" s="139">
        <v>5</v>
      </c>
      <c r="C317" s="791"/>
      <c r="D317" s="791"/>
      <c r="E317" s="791"/>
      <c r="F317" s="791"/>
      <c r="G317" s="791"/>
      <c r="H317" s="791"/>
      <c r="I317" s="792"/>
      <c r="J317" s="16"/>
      <c r="K317" s="411">
        <f t="shared" si="31"/>
        <v>0</v>
      </c>
      <c r="L317" s="17"/>
      <c r="M317" s="45">
        <f t="shared" si="32"/>
        <v>0</v>
      </c>
      <c r="N317" s="143">
        <f t="shared" si="30"/>
        <v>0</v>
      </c>
    </row>
    <row r="318" spans="2:14" x14ac:dyDescent="0.25">
      <c r="B318" s="139">
        <v>6</v>
      </c>
      <c r="C318" s="791"/>
      <c r="D318" s="791"/>
      <c r="E318" s="791"/>
      <c r="F318" s="791"/>
      <c r="G318" s="791"/>
      <c r="H318" s="791"/>
      <c r="I318" s="792"/>
      <c r="J318" s="16"/>
      <c r="K318" s="411">
        <f t="shared" si="31"/>
        <v>0</v>
      </c>
      <c r="L318" s="17"/>
      <c r="M318" s="45">
        <f t="shared" si="32"/>
        <v>0</v>
      </c>
      <c r="N318" s="143">
        <f t="shared" si="30"/>
        <v>0</v>
      </c>
    </row>
    <row r="319" spans="2:14" x14ac:dyDescent="0.25">
      <c r="B319" s="139">
        <v>7</v>
      </c>
      <c r="C319" s="791"/>
      <c r="D319" s="791"/>
      <c r="E319" s="791"/>
      <c r="F319" s="791"/>
      <c r="G319" s="791"/>
      <c r="H319" s="791"/>
      <c r="I319" s="792"/>
      <c r="J319" s="16"/>
      <c r="K319" s="411">
        <f t="shared" si="31"/>
        <v>0</v>
      </c>
      <c r="L319" s="17"/>
      <c r="M319" s="45">
        <f t="shared" si="32"/>
        <v>0</v>
      </c>
      <c r="N319" s="143">
        <f t="shared" si="30"/>
        <v>0</v>
      </c>
    </row>
    <row r="320" spans="2:14" x14ac:dyDescent="0.25">
      <c r="B320" s="139">
        <v>8</v>
      </c>
      <c r="C320" s="791"/>
      <c r="D320" s="791"/>
      <c r="E320" s="791"/>
      <c r="F320" s="791"/>
      <c r="G320" s="791"/>
      <c r="H320" s="791"/>
      <c r="I320" s="792"/>
      <c r="J320" s="16"/>
      <c r="K320" s="411">
        <f t="shared" si="31"/>
        <v>0</v>
      </c>
      <c r="L320" s="17"/>
      <c r="M320" s="45">
        <f t="shared" si="32"/>
        <v>0</v>
      </c>
      <c r="N320" s="143">
        <f t="shared" si="30"/>
        <v>0</v>
      </c>
    </row>
    <row r="321" spans="2:14" x14ac:dyDescent="0.25">
      <c r="B321" s="139">
        <v>9</v>
      </c>
      <c r="C321" s="791"/>
      <c r="D321" s="791"/>
      <c r="E321" s="791"/>
      <c r="F321" s="791"/>
      <c r="G321" s="791"/>
      <c r="H321" s="791"/>
      <c r="I321" s="792"/>
      <c r="J321" s="16"/>
      <c r="K321" s="411">
        <f t="shared" si="31"/>
        <v>0</v>
      </c>
      <c r="L321" s="17"/>
      <c r="M321" s="45">
        <f t="shared" si="32"/>
        <v>0</v>
      </c>
      <c r="N321" s="143">
        <f t="shared" si="30"/>
        <v>0</v>
      </c>
    </row>
    <row r="322" spans="2:14" x14ac:dyDescent="0.25">
      <c r="B322" s="139">
        <v>10</v>
      </c>
      <c r="C322" s="791"/>
      <c r="D322" s="791"/>
      <c r="E322" s="791"/>
      <c r="F322" s="791"/>
      <c r="G322" s="791"/>
      <c r="H322" s="791"/>
      <c r="I322" s="792"/>
      <c r="J322" s="16"/>
      <c r="K322" s="411">
        <f t="shared" si="31"/>
        <v>0</v>
      </c>
      <c r="L322" s="17"/>
      <c r="M322" s="45">
        <f t="shared" si="32"/>
        <v>0</v>
      </c>
      <c r="N322" s="143">
        <f t="shared" si="30"/>
        <v>0</v>
      </c>
    </row>
    <row r="323" spans="2:14" x14ac:dyDescent="0.25">
      <c r="B323" s="139">
        <v>11</v>
      </c>
      <c r="C323" s="791"/>
      <c r="D323" s="791"/>
      <c r="E323" s="791"/>
      <c r="F323" s="791"/>
      <c r="G323" s="791"/>
      <c r="H323" s="791"/>
      <c r="I323" s="792"/>
      <c r="J323" s="16"/>
      <c r="K323" s="411">
        <f t="shared" si="31"/>
        <v>0</v>
      </c>
      <c r="L323" s="17"/>
      <c r="M323" s="45">
        <f t="shared" si="32"/>
        <v>0</v>
      </c>
      <c r="N323" s="143">
        <f t="shared" si="30"/>
        <v>0</v>
      </c>
    </row>
    <row r="324" spans="2:14" x14ac:dyDescent="0.25">
      <c r="B324" s="139">
        <v>12</v>
      </c>
      <c r="C324" s="791"/>
      <c r="D324" s="791"/>
      <c r="E324" s="791"/>
      <c r="F324" s="791"/>
      <c r="G324" s="791"/>
      <c r="H324" s="791"/>
      <c r="I324" s="792"/>
      <c r="J324" s="16"/>
      <c r="K324" s="411">
        <f t="shared" si="31"/>
        <v>0</v>
      </c>
      <c r="L324" s="17"/>
      <c r="M324" s="45">
        <f t="shared" si="32"/>
        <v>0</v>
      </c>
      <c r="N324" s="143">
        <f t="shared" si="30"/>
        <v>0</v>
      </c>
    </row>
    <row r="325" spans="2:14" x14ac:dyDescent="0.25">
      <c r="B325" s="139">
        <v>13</v>
      </c>
      <c r="C325" s="791"/>
      <c r="D325" s="791"/>
      <c r="E325" s="791"/>
      <c r="F325" s="791"/>
      <c r="G325" s="791"/>
      <c r="H325" s="791"/>
      <c r="I325" s="792"/>
      <c r="J325" s="16"/>
      <c r="K325" s="411">
        <f t="shared" si="31"/>
        <v>0</v>
      </c>
      <c r="L325" s="17"/>
      <c r="M325" s="45">
        <f t="shared" si="32"/>
        <v>0</v>
      </c>
      <c r="N325" s="143">
        <f t="shared" si="30"/>
        <v>0</v>
      </c>
    </row>
    <row r="326" spans="2:14" x14ac:dyDescent="0.25">
      <c r="B326" s="139">
        <v>14</v>
      </c>
      <c r="C326" s="791"/>
      <c r="D326" s="791"/>
      <c r="E326" s="791"/>
      <c r="F326" s="791"/>
      <c r="G326" s="791"/>
      <c r="H326" s="791"/>
      <c r="I326" s="792"/>
      <c r="J326" s="16"/>
      <c r="K326" s="411">
        <f t="shared" si="31"/>
        <v>0</v>
      </c>
      <c r="L326" s="17"/>
      <c r="M326" s="45">
        <f t="shared" si="32"/>
        <v>0</v>
      </c>
      <c r="N326" s="143">
        <f t="shared" si="30"/>
        <v>0</v>
      </c>
    </row>
    <row r="327" spans="2:14" x14ac:dyDescent="0.25">
      <c r="B327" s="139">
        <v>15</v>
      </c>
      <c r="C327" s="791"/>
      <c r="D327" s="791"/>
      <c r="E327" s="791"/>
      <c r="F327" s="791"/>
      <c r="G327" s="791"/>
      <c r="H327" s="791"/>
      <c r="I327" s="792"/>
      <c r="J327" s="16"/>
      <c r="K327" s="411">
        <f t="shared" si="31"/>
        <v>0</v>
      </c>
      <c r="L327" s="17"/>
      <c r="M327" s="45">
        <f t="shared" si="32"/>
        <v>0</v>
      </c>
      <c r="N327" s="143">
        <f t="shared" si="30"/>
        <v>0</v>
      </c>
    </row>
    <row r="328" spans="2:14" x14ac:dyDescent="0.25">
      <c r="B328" s="139">
        <v>16</v>
      </c>
      <c r="C328" s="791"/>
      <c r="D328" s="791"/>
      <c r="E328" s="791"/>
      <c r="F328" s="791"/>
      <c r="G328" s="791"/>
      <c r="H328" s="791"/>
      <c r="I328" s="792"/>
      <c r="J328" s="16"/>
      <c r="K328" s="411">
        <f t="shared" si="31"/>
        <v>0</v>
      </c>
      <c r="L328" s="17"/>
      <c r="M328" s="45">
        <f t="shared" si="32"/>
        <v>0</v>
      </c>
      <c r="N328" s="143">
        <f t="shared" si="30"/>
        <v>0</v>
      </c>
    </row>
    <row r="329" spans="2:14" x14ac:dyDescent="0.25">
      <c r="B329" s="139">
        <v>17</v>
      </c>
      <c r="C329" s="791"/>
      <c r="D329" s="791"/>
      <c r="E329" s="791"/>
      <c r="F329" s="791"/>
      <c r="G329" s="791"/>
      <c r="H329" s="791"/>
      <c r="I329" s="792"/>
      <c r="J329" s="16"/>
      <c r="K329" s="411">
        <f t="shared" si="31"/>
        <v>0</v>
      </c>
      <c r="L329" s="17"/>
      <c r="M329" s="45">
        <f t="shared" si="32"/>
        <v>0</v>
      </c>
      <c r="N329" s="143">
        <f t="shared" si="30"/>
        <v>0</v>
      </c>
    </row>
    <row r="330" spans="2:14" x14ac:dyDescent="0.25">
      <c r="B330" s="139">
        <v>18</v>
      </c>
      <c r="C330" s="791"/>
      <c r="D330" s="791"/>
      <c r="E330" s="791"/>
      <c r="F330" s="791"/>
      <c r="G330" s="791"/>
      <c r="H330" s="791"/>
      <c r="I330" s="792"/>
      <c r="J330" s="16"/>
      <c r="K330" s="411">
        <f t="shared" si="31"/>
        <v>0</v>
      </c>
      <c r="L330" s="17"/>
      <c r="M330" s="45">
        <f t="shared" si="32"/>
        <v>0</v>
      </c>
      <c r="N330" s="143">
        <f t="shared" si="30"/>
        <v>0</v>
      </c>
    </row>
    <row r="331" spans="2:14" x14ac:dyDescent="0.25">
      <c r="B331" s="139">
        <v>19</v>
      </c>
      <c r="C331" s="791"/>
      <c r="D331" s="791"/>
      <c r="E331" s="791"/>
      <c r="F331" s="791"/>
      <c r="G331" s="791"/>
      <c r="H331" s="791"/>
      <c r="I331" s="792"/>
      <c r="J331" s="16"/>
      <c r="K331" s="411">
        <f t="shared" si="31"/>
        <v>0</v>
      </c>
      <c r="L331" s="17"/>
      <c r="M331" s="45">
        <f t="shared" si="32"/>
        <v>0</v>
      </c>
      <c r="N331" s="143">
        <f t="shared" si="30"/>
        <v>0</v>
      </c>
    </row>
    <row r="332" spans="2:14" x14ac:dyDescent="0.25">
      <c r="B332" s="139">
        <v>20</v>
      </c>
      <c r="C332" s="791"/>
      <c r="D332" s="791"/>
      <c r="E332" s="791"/>
      <c r="F332" s="791"/>
      <c r="G332" s="791"/>
      <c r="H332" s="791"/>
      <c r="I332" s="792"/>
      <c r="J332" s="16"/>
      <c r="K332" s="411">
        <f t="shared" si="31"/>
        <v>0</v>
      </c>
      <c r="L332" s="17"/>
      <c r="M332" s="45">
        <f t="shared" si="32"/>
        <v>0</v>
      </c>
      <c r="N332" s="143">
        <f t="shared" si="30"/>
        <v>0</v>
      </c>
    </row>
    <row r="333" spans="2:14" x14ac:dyDescent="0.25">
      <c r="B333" s="139">
        <v>21</v>
      </c>
      <c r="C333" s="791"/>
      <c r="D333" s="791"/>
      <c r="E333" s="791"/>
      <c r="F333" s="791"/>
      <c r="G333" s="791"/>
      <c r="H333" s="791"/>
      <c r="I333" s="792"/>
      <c r="J333" s="16"/>
      <c r="K333" s="411">
        <f t="shared" si="31"/>
        <v>0</v>
      </c>
      <c r="L333" s="17"/>
      <c r="M333" s="45">
        <f t="shared" si="32"/>
        <v>0</v>
      </c>
      <c r="N333" s="143">
        <f t="shared" si="30"/>
        <v>0</v>
      </c>
    </row>
    <row r="334" spans="2:14" x14ac:dyDescent="0.25">
      <c r="B334" s="139">
        <v>22</v>
      </c>
      <c r="C334" s="791"/>
      <c r="D334" s="791"/>
      <c r="E334" s="791"/>
      <c r="F334" s="791"/>
      <c r="G334" s="791"/>
      <c r="H334" s="791"/>
      <c r="I334" s="792"/>
      <c r="J334" s="16"/>
      <c r="K334" s="411">
        <f t="shared" si="31"/>
        <v>0</v>
      </c>
      <c r="L334" s="17"/>
      <c r="M334" s="45">
        <f t="shared" si="32"/>
        <v>0</v>
      </c>
      <c r="N334" s="143">
        <f t="shared" si="30"/>
        <v>0</v>
      </c>
    </row>
    <row r="335" spans="2:14" x14ac:dyDescent="0.25">
      <c r="B335" s="139">
        <v>23</v>
      </c>
      <c r="C335" s="791"/>
      <c r="D335" s="791"/>
      <c r="E335" s="791"/>
      <c r="F335" s="791"/>
      <c r="G335" s="791"/>
      <c r="H335" s="791"/>
      <c r="I335" s="792"/>
      <c r="J335" s="16"/>
      <c r="K335" s="411">
        <f t="shared" si="31"/>
        <v>0</v>
      </c>
      <c r="L335" s="17"/>
      <c r="M335" s="45">
        <f t="shared" si="32"/>
        <v>0</v>
      </c>
      <c r="N335" s="143">
        <f t="shared" si="30"/>
        <v>0</v>
      </c>
    </row>
    <row r="336" spans="2:14" x14ac:dyDescent="0.25">
      <c r="B336" s="139">
        <v>24</v>
      </c>
      <c r="C336" s="791"/>
      <c r="D336" s="791"/>
      <c r="E336" s="791"/>
      <c r="F336" s="791"/>
      <c r="G336" s="791"/>
      <c r="H336" s="791"/>
      <c r="I336" s="792"/>
      <c r="J336" s="16"/>
      <c r="K336" s="411">
        <f t="shared" si="31"/>
        <v>0</v>
      </c>
      <c r="L336" s="17"/>
      <c r="M336" s="45">
        <f t="shared" si="32"/>
        <v>0</v>
      </c>
      <c r="N336" s="143">
        <f t="shared" si="30"/>
        <v>0</v>
      </c>
    </row>
    <row r="337" spans="2:14" x14ac:dyDescent="0.25">
      <c r="B337" s="139">
        <v>25</v>
      </c>
      <c r="C337" s="791"/>
      <c r="D337" s="791"/>
      <c r="E337" s="791"/>
      <c r="F337" s="791"/>
      <c r="G337" s="791"/>
      <c r="H337" s="791"/>
      <c r="I337" s="792"/>
      <c r="J337" s="16"/>
      <c r="K337" s="411">
        <f t="shared" si="31"/>
        <v>0</v>
      </c>
      <c r="L337" s="17"/>
      <c r="M337" s="45">
        <f t="shared" si="32"/>
        <v>0</v>
      </c>
      <c r="N337" s="143">
        <f t="shared" si="30"/>
        <v>0</v>
      </c>
    </row>
    <row r="338" spans="2:14" x14ac:dyDescent="0.25">
      <c r="B338" s="139">
        <v>26</v>
      </c>
      <c r="C338" s="791"/>
      <c r="D338" s="791"/>
      <c r="E338" s="791"/>
      <c r="F338" s="791"/>
      <c r="G338" s="791"/>
      <c r="H338" s="791"/>
      <c r="I338" s="792"/>
      <c r="J338" s="16"/>
      <c r="K338" s="411">
        <f t="shared" si="31"/>
        <v>0</v>
      </c>
      <c r="L338" s="17"/>
      <c r="M338" s="45">
        <f t="shared" si="32"/>
        <v>0</v>
      </c>
      <c r="N338" s="143">
        <f t="shared" si="30"/>
        <v>0</v>
      </c>
    </row>
    <row r="339" spans="2:14" x14ac:dyDescent="0.25">
      <c r="B339" s="139">
        <v>27</v>
      </c>
      <c r="C339" s="791"/>
      <c r="D339" s="791"/>
      <c r="E339" s="791"/>
      <c r="F339" s="791"/>
      <c r="G339" s="791"/>
      <c r="H339" s="791"/>
      <c r="I339" s="792"/>
      <c r="J339" s="16"/>
      <c r="K339" s="411">
        <f t="shared" si="31"/>
        <v>0</v>
      </c>
      <c r="L339" s="17"/>
      <c r="M339" s="45">
        <f t="shared" si="32"/>
        <v>0</v>
      </c>
      <c r="N339" s="143">
        <f t="shared" si="30"/>
        <v>0</v>
      </c>
    </row>
    <row r="340" spans="2:14" x14ac:dyDescent="0.25">
      <c r="B340" s="139">
        <v>28</v>
      </c>
      <c r="C340" s="791"/>
      <c r="D340" s="791"/>
      <c r="E340" s="791"/>
      <c r="F340" s="791"/>
      <c r="G340" s="791"/>
      <c r="H340" s="791"/>
      <c r="I340" s="792"/>
      <c r="J340" s="16"/>
      <c r="K340" s="411">
        <f t="shared" si="31"/>
        <v>0</v>
      </c>
      <c r="L340" s="17"/>
      <c r="M340" s="45">
        <f t="shared" si="32"/>
        <v>0</v>
      </c>
      <c r="N340" s="143">
        <f t="shared" si="30"/>
        <v>0</v>
      </c>
    </row>
    <row r="341" spans="2:14" x14ac:dyDescent="0.25">
      <c r="B341" s="139">
        <v>29</v>
      </c>
      <c r="C341" s="791"/>
      <c r="D341" s="791"/>
      <c r="E341" s="791"/>
      <c r="F341" s="791"/>
      <c r="G341" s="791"/>
      <c r="H341" s="791"/>
      <c r="I341" s="792"/>
      <c r="J341" s="16"/>
      <c r="K341" s="411">
        <f t="shared" si="31"/>
        <v>0</v>
      </c>
      <c r="L341" s="17"/>
      <c r="M341" s="45">
        <f t="shared" si="32"/>
        <v>0</v>
      </c>
      <c r="N341" s="143">
        <f t="shared" si="30"/>
        <v>0</v>
      </c>
    </row>
    <row r="342" spans="2:14" x14ac:dyDescent="0.25">
      <c r="B342" s="139">
        <v>30</v>
      </c>
      <c r="C342" s="791"/>
      <c r="D342" s="791"/>
      <c r="E342" s="791"/>
      <c r="F342" s="791"/>
      <c r="G342" s="791"/>
      <c r="H342" s="791"/>
      <c r="I342" s="792"/>
      <c r="J342" s="16"/>
      <c r="K342" s="411">
        <f t="shared" si="31"/>
        <v>0</v>
      </c>
      <c r="L342" s="17"/>
      <c r="M342" s="45">
        <f t="shared" si="32"/>
        <v>0</v>
      </c>
      <c r="N342" s="143">
        <f t="shared" si="30"/>
        <v>0</v>
      </c>
    </row>
    <row r="343" spans="2:14" x14ac:dyDescent="0.25">
      <c r="B343" s="144"/>
      <c r="C343" s="793" t="s">
        <v>4019</v>
      </c>
      <c r="D343" s="793"/>
      <c r="E343" s="793"/>
      <c r="F343" s="793"/>
      <c r="G343" s="793"/>
      <c r="H343" s="793"/>
      <c r="I343" s="793"/>
      <c r="J343" s="793"/>
      <c r="K343" s="793"/>
      <c r="L343" s="794"/>
      <c r="M343" s="145">
        <f>SUM(M311:M342)</f>
        <v>0</v>
      </c>
      <c r="N343" s="145">
        <f>SUM(N311:N342)</f>
        <v>0</v>
      </c>
    </row>
    <row r="344" spans="2:14" x14ac:dyDescent="0.25">
      <c r="B344" s="146"/>
      <c r="C344" s="795" t="s">
        <v>4020</v>
      </c>
      <c r="D344" s="795"/>
      <c r="E344" s="795"/>
      <c r="F344" s="795"/>
      <c r="G344" s="795"/>
      <c r="H344" s="795"/>
      <c r="I344" s="795"/>
      <c r="J344" s="795"/>
      <c r="K344" s="795"/>
      <c r="L344" s="796"/>
      <c r="M344" s="45">
        <f>M343</f>
        <v>0</v>
      </c>
      <c r="N344" s="147">
        <f>N343</f>
        <v>0</v>
      </c>
    </row>
    <row r="345" spans="2:14" x14ac:dyDescent="0.25">
      <c r="B345" s="734" t="s">
        <v>4021</v>
      </c>
      <c r="C345" s="735"/>
      <c r="D345" s="735"/>
      <c r="E345" s="735"/>
      <c r="F345" s="735"/>
      <c r="G345" s="735"/>
      <c r="H345" s="735"/>
      <c r="I345" s="735"/>
      <c r="J345" s="735"/>
      <c r="K345" s="735"/>
      <c r="L345" s="735"/>
      <c r="M345" s="735"/>
      <c r="N345" s="736"/>
    </row>
    <row r="346" spans="2:14" x14ac:dyDescent="0.25">
      <c r="B346" s="805" t="s">
        <v>3978</v>
      </c>
      <c r="C346" s="805"/>
      <c r="D346" s="805"/>
      <c r="E346" s="805"/>
      <c r="F346" s="805"/>
      <c r="G346" s="805"/>
      <c r="H346" s="805"/>
      <c r="I346" s="805"/>
      <c r="J346" s="805"/>
      <c r="K346" s="805"/>
      <c r="L346" s="805"/>
      <c r="M346" s="797" t="s">
        <v>3909</v>
      </c>
      <c r="N346" s="797"/>
    </row>
    <row r="347" spans="2:14" x14ac:dyDescent="0.25">
      <c r="B347" s="798" t="s">
        <v>3979</v>
      </c>
      <c r="C347" s="799"/>
      <c r="D347" s="799"/>
      <c r="E347" s="799"/>
      <c r="F347" s="799"/>
      <c r="G347" s="799"/>
      <c r="H347" s="799"/>
      <c r="I347" s="799"/>
      <c r="J347" s="800"/>
      <c r="K347" s="136" t="s">
        <v>3980</v>
      </c>
      <c r="L347" s="136" t="s">
        <v>3981</v>
      </c>
      <c r="M347" s="136" t="s">
        <v>3982</v>
      </c>
      <c r="N347" s="138" t="s">
        <v>3794</v>
      </c>
    </row>
    <row r="348" spans="2:14" x14ac:dyDescent="0.25">
      <c r="B348" s="806" t="s">
        <v>4022</v>
      </c>
      <c r="C348" s="807"/>
      <c r="D348" s="807"/>
      <c r="E348" s="807"/>
      <c r="F348" s="807"/>
      <c r="G348" s="807"/>
      <c r="H348" s="807"/>
      <c r="I348" s="807"/>
      <c r="J348" s="808"/>
      <c r="K348" s="490"/>
      <c r="L348" s="17"/>
      <c r="M348" s="45">
        <f>N348</f>
        <v>0</v>
      </c>
      <c r="N348" s="143">
        <f>K348*L348</f>
        <v>0</v>
      </c>
    </row>
    <row r="349" spans="2:14" x14ac:dyDescent="0.25">
      <c r="B349" s="798" t="s">
        <v>3984</v>
      </c>
      <c r="C349" s="799"/>
      <c r="D349" s="799"/>
      <c r="E349" s="799"/>
      <c r="F349" s="799"/>
      <c r="G349" s="799"/>
      <c r="H349" s="800"/>
      <c r="I349" s="532" t="s">
        <v>3985</v>
      </c>
      <c r="J349" s="136" t="s">
        <v>3986</v>
      </c>
      <c r="K349" s="136" t="s">
        <v>3987</v>
      </c>
      <c r="L349" s="136" t="s">
        <v>3981</v>
      </c>
      <c r="M349" s="136" t="s">
        <v>3982</v>
      </c>
      <c r="N349" s="138" t="s">
        <v>3794</v>
      </c>
    </row>
    <row r="350" spans="2:14" x14ac:dyDescent="0.25">
      <c r="B350" s="139">
        <v>1</v>
      </c>
      <c r="C350" s="791"/>
      <c r="D350" s="791"/>
      <c r="E350" s="791"/>
      <c r="F350" s="791"/>
      <c r="G350" s="791"/>
      <c r="H350" s="792"/>
      <c r="I350" s="547">
        <v>0.5</v>
      </c>
      <c r="J350" s="16"/>
      <c r="K350" s="48">
        <f t="shared" ref="K350:K379" si="33">IF(OR(I350=0,J350=0),0,IF((((($L$6^2*I350^2)/$H$6^2)*J350)/((($L$6^2*I350^2)/$H$6^2)+J350))&lt;(($L$6^2*I350^2)/$H$6^2),ROUND((((($L$6^2*I350^2)/$H$6^2)*J350)/((($L$6^2*I350^2)/$H$6^2)+J350)),0),ROUND((($L$6^2*I350^2)/$H$6^2),0)))</f>
        <v>0</v>
      </c>
      <c r="L350" s="17"/>
      <c r="M350" s="45">
        <f>N350</f>
        <v>0</v>
      </c>
      <c r="N350" s="143">
        <f t="shared" ref="N350:N379" si="34">K350*L350</f>
        <v>0</v>
      </c>
    </row>
    <row r="351" spans="2:14" x14ac:dyDescent="0.25">
      <c r="B351" s="139">
        <v>2</v>
      </c>
      <c r="C351" s="791"/>
      <c r="D351" s="791"/>
      <c r="E351" s="791"/>
      <c r="F351" s="791"/>
      <c r="G351" s="791"/>
      <c r="H351" s="792"/>
      <c r="I351" s="547">
        <v>0.5</v>
      </c>
      <c r="J351" s="16"/>
      <c r="K351" s="48">
        <f t="shared" si="33"/>
        <v>0</v>
      </c>
      <c r="L351" s="17"/>
      <c r="M351" s="45">
        <f>N351</f>
        <v>0</v>
      </c>
      <c r="N351" s="143">
        <f t="shared" si="34"/>
        <v>0</v>
      </c>
    </row>
    <row r="352" spans="2:14" x14ac:dyDescent="0.25">
      <c r="B352" s="139">
        <v>3</v>
      </c>
      <c r="C352" s="791"/>
      <c r="D352" s="791"/>
      <c r="E352" s="791"/>
      <c r="F352" s="791"/>
      <c r="G352" s="791"/>
      <c r="H352" s="792"/>
      <c r="I352" s="547">
        <v>0.5</v>
      </c>
      <c r="J352" s="16"/>
      <c r="K352" s="48">
        <f t="shared" si="33"/>
        <v>0</v>
      </c>
      <c r="L352" s="17"/>
      <c r="M352" s="45">
        <f t="shared" ref="M352:M379" si="35">N352</f>
        <v>0</v>
      </c>
      <c r="N352" s="143">
        <f t="shared" si="34"/>
        <v>0</v>
      </c>
    </row>
    <row r="353" spans="2:14" x14ac:dyDescent="0.25">
      <c r="B353" s="139">
        <v>4</v>
      </c>
      <c r="C353" s="791"/>
      <c r="D353" s="791"/>
      <c r="E353" s="791"/>
      <c r="F353" s="791"/>
      <c r="G353" s="791"/>
      <c r="H353" s="792"/>
      <c r="I353" s="547">
        <v>0.5</v>
      </c>
      <c r="J353" s="16"/>
      <c r="K353" s="48">
        <f t="shared" si="33"/>
        <v>0</v>
      </c>
      <c r="L353" s="17"/>
      <c r="M353" s="45">
        <f t="shared" si="35"/>
        <v>0</v>
      </c>
      <c r="N353" s="143">
        <f t="shared" si="34"/>
        <v>0</v>
      </c>
    </row>
    <row r="354" spans="2:14" x14ac:dyDescent="0.25">
      <c r="B354" s="139">
        <v>5</v>
      </c>
      <c r="C354" s="791"/>
      <c r="D354" s="791"/>
      <c r="E354" s="791"/>
      <c r="F354" s="791"/>
      <c r="G354" s="791"/>
      <c r="H354" s="792"/>
      <c r="I354" s="547">
        <v>0.5</v>
      </c>
      <c r="J354" s="16"/>
      <c r="K354" s="48">
        <f t="shared" si="33"/>
        <v>0</v>
      </c>
      <c r="L354" s="17"/>
      <c r="M354" s="45">
        <f t="shared" si="35"/>
        <v>0</v>
      </c>
      <c r="N354" s="143">
        <f t="shared" si="34"/>
        <v>0</v>
      </c>
    </row>
    <row r="355" spans="2:14" x14ac:dyDescent="0.25">
      <c r="B355" s="139">
        <v>6</v>
      </c>
      <c r="C355" s="791"/>
      <c r="D355" s="791"/>
      <c r="E355" s="791"/>
      <c r="F355" s="791"/>
      <c r="G355" s="791"/>
      <c r="H355" s="792"/>
      <c r="I355" s="547">
        <v>0.5</v>
      </c>
      <c r="J355" s="16"/>
      <c r="K355" s="48">
        <f t="shared" si="33"/>
        <v>0</v>
      </c>
      <c r="L355" s="17"/>
      <c r="M355" s="45">
        <f t="shared" si="35"/>
        <v>0</v>
      </c>
      <c r="N355" s="143">
        <f t="shared" si="34"/>
        <v>0</v>
      </c>
    </row>
    <row r="356" spans="2:14" x14ac:dyDescent="0.25">
      <c r="B356" s="139">
        <v>7</v>
      </c>
      <c r="C356" s="791"/>
      <c r="D356" s="791"/>
      <c r="E356" s="791"/>
      <c r="F356" s="791"/>
      <c r="G356" s="791"/>
      <c r="H356" s="792"/>
      <c r="I356" s="547">
        <v>0.5</v>
      </c>
      <c r="J356" s="16"/>
      <c r="K356" s="48">
        <f t="shared" si="33"/>
        <v>0</v>
      </c>
      <c r="L356" s="17"/>
      <c r="M356" s="45">
        <f t="shared" si="35"/>
        <v>0</v>
      </c>
      <c r="N356" s="143">
        <f t="shared" si="34"/>
        <v>0</v>
      </c>
    </row>
    <row r="357" spans="2:14" x14ac:dyDescent="0.25">
      <c r="B357" s="139">
        <v>8</v>
      </c>
      <c r="C357" s="791"/>
      <c r="D357" s="791"/>
      <c r="E357" s="791"/>
      <c r="F357" s="791"/>
      <c r="G357" s="791"/>
      <c r="H357" s="792"/>
      <c r="I357" s="547">
        <v>0.5</v>
      </c>
      <c r="J357" s="16"/>
      <c r="K357" s="48">
        <f t="shared" si="33"/>
        <v>0</v>
      </c>
      <c r="L357" s="17"/>
      <c r="M357" s="45">
        <f t="shared" si="35"/>
        <v>0</v>
      </c>
      <c r="N357" s="143">
        <f t="shared" si="34"/>
        <v>0</v>
      </c>
    </row>
    <row r="358" spans="2:14" x14ac:dyDescent="0.25">
      <c r="B358" s="139">
        <v>9</v>
      </c>
      <c r="C358" s="791"/>
      <c r="D358" s="791"/>
      <c r="E358" s="791"/>
      <c r="F358" s="791"/>
      <c r="G358" s="791"/>
      <c r="H358" s="792"/>
      <c r="I358" s="547">
        <v>0.5</v>
      </c>
      <c r="J358" s="16"/>
      <c r="K358" s="48">
        <f t="shared" si="33"/>
        <v>0</v>
      </c>
      <c r="L358" s="17"/>
      <c r="M358" s="45">
        <f t="shared" si="35"/>
        <v>0</v>
      </c>
      <c r="N358" s="143">
        <f t="shared" si="34"/>
        <v>0</v>
      </c>
    </row>
    <row r="359" spans="2:14" x14ac:dyDescent="0.25">
      <c r="B359" s="139">
        <v>10</v>
      </c>
      <c r="C359" s="791"/>
      <c r="D359" s="791"/>
      <c r="E359" s="791"/>
      <c r="F359" s="791"/>
      <c r="G359" s="791"/>
      <c r="H359" s="792"/>
      <c r="I359" s="547">
        <v>0.5</v>
      </c>
      <c r="J359" s="16"/>
      <c r="K359" s="48">
        <f t="shared" si="33"/>
        <v>0</v>
      </c>
      <c r="L359" s="17"/>
      <c r="M359" s="45">
        <f t="shared" si="35"/>
        <v>0</v>
      </c>
      <c r="N359" s="143">
        <f t="shared" si="34"/>
        <v>0</v>
      </c>
    </row>
    <row r="360" spans="2:14" x14ac:dyDescent="0.25">
      <c r="B360" s="139">
        <v>11</v>
      </c>
      <c r="C360" s="791"/>
      <c r="D360" s="791"/>
      <c r="E360" s="791"/>
      <c r="F360" s="791"/>
      <c r="G360" s="791"/>
      <c r="H360" s="792"/>
      <c r="I360" s="547">
        <v>0.5</v>
      </c>
      <c r="J360" s="16"/>
      <c r="K360" s="48">
        <f t="shared" si="33"/>
        <v>0</v>
      </c>
      <c r="L360" s="17"/>
      <c r="M360" s="45">
        <f t="shared" si="35"/>
        <v>0</v>
      </c>
      <c r="N360" s="143">
        <f t="shared" si="34"/>
        <v>0</v>
      </c>
    </row>
    <row r="361" spans="2:14" x14ac:dyDescent="0.25">
      <c r="B361" s="139">
        <v>12</v>
      </c>
      <c r="C361" s="791"/>
      <c r="D361" s="791"/>
      <c r="E361" s="791"/>
      <c r="F361" s="791"/>
      <c r="G361" s="791"/>
      <c r="H361" s="792"/>
      <c r="I361" s="547">
        <v>0.5</v>
      </c>
      <c r="J361" s="16"/>
      <c r="K361" s="48">
        <f t="shared" si="33"/>
        <v>0</v>
      </c>
      <c r="L361" s="17"/>
      <c r="M361" s="45">
        <f t="shared" si="35"/>
        <v>0</v>
      </c>
      <c r="N361" s="143">
        <f t="shared" si="34"/>
        <v>0</v>
      </c>
    </row>
    <row r="362" spans="2:14" x14ac:dyDescent="0.25">
      <c r="B362" s="139">
        <v>13</v>
      </c>
      <c r="C362" s="791"/>
      <c r="D362" s="791"/>
      <c r="E362" s="791"/>
      <c r="F362" s="791"/>
      <c r="G362" s="791"/>
      <c r="H362" s="792"/>
      <c r="I362" s="547">
        <v>0.5</v>
      </c>
      <c r="J362" s="16"/>
      <c r="K362" s="48">
        <f t="shared" si="33"/>
        <v>0</v>
      </c>
      <c r="L362" s="17"/>
      <c r="M362" s="45">
        <f t="shared" si="35"/>
        <v>0</v>
      </c>
      <c r="N362" s="143">
        <f t="shared" si="34"/>
        <v>0</v>
      </c>
    </row>
    <row r="363" spans="2:14" x14ac:dyDescent="0.25">
      <c r="B363" s="139">
        <v>14</v>
      </c>
      <c r="C363" s="791"/>
      <c r="D363" s="791"/>
      <c r="E363" s="791"/>
      <c r="F363" s="791"/>
      <c r="G363" s="791"/>
      <c r="H363" s="792"/>
      <c r="I363" s="547">
        <v>0.5</v>
      </c>
      <c r="J363" s="16"/>
      <c r="K363" s="48">
        <f t="shared" si="33"/>
        <v>0</v>
      </c>
      <c r="L363" s="17"/>
      <c r="M363" s="45">
        <f t="shared" si="35"/>
        <v>0</v>
      </c>
      <c r="N363" s="143">
        <f t="shared" si="34"/>
        <v>0</v>
      </c>
    </row>
    <row r="364" spans="2:14" x14ac:dyDescent="0.25">
      <c r="B364" s="139">
        <v>15</v>
      </c>
      <c r="C364" s="791"/>
      <c r="D364" s="791"/>
      <c r="E364" s="791"/>
      <c r="F364" s="791"/>
      <c r="G364" s="791"/>
      <c r="H364" s="792"/>
      <c r="I364" s="547">
        <v>0.5</v>
      </c>
      <c r="J364" s="16"/>
      <c r="K364" s="48">
        <f t="shared" si="33"/>
        <v>0</v>
      </c>
      <c r="L364" s="17"/>
      <c r="M364" s="45">
        <f t="shared" si="35"/>
        <v>0</v>
      </c>
      <c r="N364" s="143">
        <f t="shared" si="34"/>
        <v>0</v>
      </c>
    </row>
    <row r="365" spans="2:14" x14ac:dyDescent="0.25">
      <c r="B365" s="139">
        <v>16</v>
      </c>
      <c r="C365" s="791"/>
      <c r="D365" s="791"/>
      <c r="E365" s="791"/>
      <c r="F365" s="791"/>
      <c r="G365" s="791"/>
      <c r="H365" s="792"/>
      <c r="I365" s="547">
        <v>0.5</v>
      </c>
      <c r="J365" s="16"/>
      <c r="K365" s="48">
        <f t="shared" si="33"/>
        <v>0</v>
      </c>
      <c r="L365" s="17"/>
      <c r="M365" s="45">
        <f t="shared" si="35"/>
        <v>0</v>
      </c>
      <c r="N365" s="143">
        <f t="shared" si="34"/>
        <v>0</v>
      </c>
    </row>
    <row r="366" spans="2:14" x14ac:dyDescent="0.25">
      <c r="B366" s="139">
        <v>17</v>
      </c>
      <c r="C366" s="791"/>
      <c r="D366" s="791"/>
      <c r="E366" s="791"/>
      <c r="F366" s="791"/>
      <c r="G366" s="791"/>
      <c r="H366" s="792"/>
      <c r="I366" s="547">
        <v>0.5</v>
      </c>
      <c r="J366" s="16"/>
      <c r="K366" s="48">
        <f t="shared" si="33"/>
        <v>0</v>
      </c>
      <c r="L366" s="17"/>
      <c r="M366" s="45">
        <f t="shared" si="35"/>
        <v>0</v>
      </c>
      <c r="N366" s="143">
        <f t="shared" si="34"/>
        <v>0</v>
      </c>
    </row>
    <row r="367" spans="2:14" x14ac:dyDescent="0.25">
      <c r="B367" s="139">
        <v>18</v>
      </c>
      <c r="C367" s="791"/>
      <c r="D367" s="791"/>
      <c r="E367" s="791"/>
      <c r="F367" s="791"/>
      <c r="G367" s="791"/>
      <c r="H367" s="792"/>
      <c r="I367" s="547">
        <v>0.5</v>
      </c>
      <c r="J367" s="16"/>
      <c r="K367" s="48">
        <f t="shared" si="33"/>
        <v>0</v>
      </c>
      <c r="L367" s="17"/>
      <c r="M367" s="45">
        <f t="shared" si="35"/>
        <v>0</v>
      </c>
      <c r="N367" s="143">
        <f t="shared" si="34"/>
        <v>0</v>
      </c>
    </row>
    <row r="368" spans="2:14" x14ac:dyDescent="0.25">
      <c r="B368" s="139">
        <v>19</v>
      </c>
      <c r="C368" s="791"/>
      <c r="D368" s="791"/>
      <c r="E368" s="791"/>
      <c r="F368" s="791"/>
      <c r="G368" s="791"/>
      <c r="H368" s="792"/>
      <c r="I368" s="547">
        <v>0.5</v>
      </c>
      <c r="J368" s="16"/>
      <c r="K368" s="48">
        <f t="shared" si="33"/>
        <v>0</v>
      </c>
      <c r="L368" s="17"/>
      <c r="M368" s="45">
        <f t="shared" si="35"/>
        <v>0</v>
      </c>
      <c r="N368" s="143">
        <f t="shared" si="34"/>
        <v>0</v>
      </c>
    </row>
    <row r="369" spans="2:14" x14ac:dyDescent="0.25">
      <c r="B369" s="139">
        <v>20</v>
      </c>
      <c r="C369" s="791"/>
      <c r="D369" s="791"/>
      <c r="E369" s="791"/>
      <c r="F369" s="791"/>
      <c r="G369" s="791"/>
      <c r="H369" s="792"/>
      <c r="I369" s="547">
        <v>0.5</v>
      </c>
      <c r="J369" s="16"/>
      <c r="K369" s="48">
        <f t="shared" si="33"/>
        <v>0</v>
      </c>
      <c r="L369" s="17"/>
      <c r="M369" s="45">
        <f t="shared" si="35"/>
        <v>0</v>
      </c>
      <c r="N369" s="143">
        <f t="shared" si="34"/>
        <v>0</v>
      </c>
    </row>
    <row r="370" spans="2:14" x14ac:dyDescent="0.25">
      <c r="B370" s="139">
        <v>21</v>
      </c>
      <c r="C370" s="791"/>
      <c r="D370" s="791"/>
      <c r="E370" s="791"/>
      <c r="F370" s="791"/>
      <c r="G370" s="791"/>
      <c r="H370" s="792"/>
      <c r="I370" s="547">
        <v>0.5</v>
      </c>
      <c r="J370" s="16"/>
      <c r="K370" s="48">
        <f t="shared" si="33"/>
        <v>0</v>
      </c>
      <c r="L370" s="17"/>
      <c r="M370" s="45">
        <f t="shared" si="35"/>
        <v>0</v>
      </c>
      <c r="N370" s="143">
        <f t="shared" si="34"/>
        <v>0</v>
      </c>
    </row>
    <row r="371" spans="2:14" x14ac:dyDescent="0.25">
      <c r="B371" s="139">
        <v>22</v>
      </c>
      <c r="C371" s="791"/>
      <c r="D371" s="791"/>
      <c r="E371" s="791"/>
      <c r="F371" s="791"/>
      <c r="G371" s="791"/>
      <c r="H371" s="792"/>
      <c r="I371" s="547">
        <v>0.5</v>
      </c>
      <c r="J371" s="16"/>
      <c r="K371" s="48">
        <f t="shared" si="33"/>
        <v>0</v>
      </c>
      <c r="L371" s="17"/>
      <c r="M371" s="45">
        <f t="shared" si="35"/>
        <v>0</v>
      </c>
      <c r="N371" s="143">
        <f t="shared" si="34"/>
        <v>0</v>
      </c>
    </row>
    <row r="372" spans="2:14" x14ac:dyDescent="0.25">
      <c r="B372" s="139">
        <v>23</v>
      </c>
      <c r="C372" s="791"/>
      <c r="D372" s="791"/>
      <c r="E372" s="791"/>
      <c r="F372" s="791"/>
      <c r="G372" s="791"/>
      <c r="H372" s="792"/>
      <c r="I372" s="547">
        <v>0.5</v>
      </c>
      <c r="J372" s="16"/>
      <c r="K372" s="48">
        <f t="shared" si="33"/>
        <v>0</v>
      </c>
      <c r="L372" s="17"/>
      <c r="M372" s="45">
        <f t="shared" si="35"/>
        <v>0</v>
      </c>
      <c r="N372" s="143">
        <f t="shared" si="34"/>
        <v>0</v>
      </c>
    </row>
    <row r="373" spans="2:14" x14ac:dyDescent="0.25">
      <c r="B373" s="139">
        <v>24</v>
      </c>
      <c r="C373" s="791"/>
      <c r="D373" s="791"/>
      <c r="E373" s="791"/>
      <c r="F373" s="791"/>
      <c r="G373" s="791"/>
      <c r="H373" s="792"/>
      <c r="I373" s="547">
        <v>0.5</v>
      </c>
      <c r="J373" s="16"/>
      <c r="K373" s="48">
        <f t="shared" si="33"/>
        <v>0</v>
      </c>
      <c r="L373" s="17"/>
      <c r="M373" s="45">
        <f t="shared" si="35"/>
        <v>0</v>
      </c>
      <c r="N373" s="143">
        <f t="shared" si="34"/>
        <v>0</v>
      </c>
    </row>
    <row r="374" spans="2:14" x14ac:dyDescent="0.25">
      <c r="B374" s="139">
        <v>25</v>
      </c>
      <c r="C374" s="791"/>
      <c r="D374" s="791"/>
      <c r="E374" s="791"/>
      <c r="F374" s="791"/>
      <c r="G374" s="791"/>
      <c r="H374" s="792"/>
      <c r="I374" s="547">
        <v>0.5</v>
      </c>
      <c r="J374" s="16"/>
      <c r="K374" s="48">
        <f t="shared" si="33"/>
        <v>0</v>
      </c>
      <c r="L374" s="17"/>
      <c r="M374" s="45">
        <f t="shared" si="35"/>
        <v>0</v>
      </c>
      <c r="N374" s="143">
        <f t="shared" si="34"/>
        <v>0</v>
      </c>
    </row>
    <row r="375" spans="2:14" x14ac:dyDescent="0.25">
      <c r="B375" s="139">
        <v>26</v>
      </c>
      <c r="C375" s="791"/>
      <c r="D375" s="791"/>
      <c r="E375" s="791"/>
      <c r="F375" s="791"/>
      <c r="G375" s="791"/>
      <c r="H375" s="792"/>
      <c r="I375" s="547">
        <v>0.5</v>
      </c>
      <c r="J375" s="16"/>
      <c r="K375" s="48">
        <f t="shared" si="33"/>
        <v>0</v>
      </c>
      <c r="L375" s="17"/>
      <c r="M375" s="45">
        <f t="shared" si="35"/>
        <v>0</v>
      </c>
      <c r="N375" s="143">
        <f t="shared" si="34"/>
        <v>0</v>
      </c>
    </row>
    <row r="376" spans="2:14" x14ac:dyDescent="0.25">
      <c r="B376" s="139">
        <v>27</v>
      </c>
      <c r="C376" s="791"/>
      <c r="D376" s="791"/>
      <c r="E376" s="791"/>
      <c r="F376" s="791"/>
      <c r="G376" s="791"/>
      <c r="H376" s="792"/>
      <c r="I376" s="547">
        <v>0.5</v>
      </c>
      <c r="J376" s="16"/>
      <c r="K376" s="48">
        <f t="shared" si="33"/>
        <v>0</v>
      </c>
      <c r="L376" s="17"/>
      <c r="M376" s="45">
        <f t="shared" si="35"/>
        <v>0</v>
      </c>
      <c r="N376" s="143">
        <f t="shared" si="34"/>
        <v>0</v>
      </c>
    </row>
    <row r="377" spans="2:14" x14ac:dyDescent="0.25">
      <c r="B377" s="139">
        <v>28</v>
      </c>
      <c r="C377" s="791"/>
      <c r="D377" s="791"/>
      <c r="E377" s="791"/>
      <c r="F377" s="791"/>
      <c r="G377" s="791"/>
      <c r="H377" s="792"/>
      <c r="I377" s="547">
        <v>0.5</v>
      </c>
      <c r="J377" s="16"/>
      <c r="K377" s="48">
        <f t="shared" si="33"/>
        <v>0</v>
      </c>
      <c r="L377" s="17"/>
      <c r="M377" s="45">
        <f t="shared" si="35"/>
        <v>0</v>
      </c>
      <c r="N377" s="143">
        <f t="shared" si="34"/>
        <v>0</v>
      </c>
    </row>
    <row r="378" spans="2:14" x14ac:dyDescent="0.25">
      <c r="B378" s="139">
        <v>29</v>
      </c>
      <c r="C378" s="791"/>
      <c r="D378" s="791"/>
      <c r="E378" s="791"/>
      <c r="F378" s="791"/>
      <c r="G378" s="791"/>
      <c r="H378" s="792"/>
      <c r="I378" s="547">
        <v>0.5</v>
      </c>
      <c r="J378" s="16"/>
      <c r="K378" s="48">
        <f t="shared" si="33"/>
        <v>0</v>
      </c>
      <c r="L378" s="17"/>
      <c r="M378" s="45">
        <f t="shared" si="35"/>
        <v>0</v>
      </c>
      <c r="N378" s="143">
        <f t="shared" si="34"/>
        <v>0</v>
      </c>
    </row>
    <row r="379" spans="2:14" x14ac:dyDescent="0.25">
      <c r="B379" s="139">
        <v>30</v>
      </c>
      <c r="C379" s="791"/>
      <c r="D379" s="791"/>
      <c r="E379" s="791"/>
      <c r="F379" s="791"/>
      <c r="G379" s="791"/>
      <c r="H379" s="792"/>
      <c r="I379" s="547">
        <v>0.5</v>
      </c>
      <c r="J379" s="16"/>
      <c r="K379" s="48">
        <f t="shared" si="33"/>
        <v>0</v>
      </c>
      <c r="L379" s="17"/>
      <c r="M379" s="45">
        <f t="shared" si="35"/>
        <v>0</v>
      </c>
      <c r="N379" s="143">
        <f t="shared" si="34"/>
        <v>0</v>
      </c>
    </row>
    <row r="380" spans="2:14" x14ac:dyDescent="0.25">
      <c r="B380" s="144"/>
      <c r="C380" s="793" t="s">
        <v>4023</v>
      </c>
      <c r="D380" s="793"/>
      <c r="E380" s="793"/>
      <c r="F380" s="793"/>
      <c r="G380" s="793"/>
      <c r="H380" s="793"/>
      <c r="I380" s="793"/>
      <c r="J380" s="793"/>
      <c r="K380" s="793"/>
      <c r="L380" s="794"/>
      <c r="M380" s="145">
        <f>SUM(M348:M379)</f>
        <v>0</v>
      </c>
      <c r="N380" s="145">
        <f>SUM(N348:N379)</f>
        <v>0</v>
      </c>
    </row>
    <row r="381" spans="2:14" x14ac:dyDescent="0.25">
      <c r="B381" s="805" t="s">
        <v>3989</v>
      </c>
      <c r="C381" s="805"/>
      <c r="D381" s="805"/>
      <c r="E381" s="805"/>
      <c r="F381" s="805"/>
      <c r="G381" s="805"/>
      <c r="H381" s="805"/>
      <c r="I381" s="805"/>
      <c r="J381" s="805"/>
      <c r="K381" s="805"/>
      <c r="L381" s="805"/>
      <c r="M381" s="797" t="s">
        <v>3909</v>
      </c>
      <c r="N381" s="797"/>
    </row>
    <row r="382" spans="2:14" x14ac:dyDescent="0.25">
      <c r="B382" s="798" t="s">
        <v>3979</v>
      </c>
      <c r="C382" s="799"/>
      <c r="D382" s="799"/>
      <c r="E382" s="799"/>
      <c r="F382" s="799"/>
      <c r="G382" s="799"/>
      <c r="H382" s="799"/>
      <c r="I382" s="799"/>
      <c r="J382" s="800"/>
      <c r="K382" s="136" t="s">
        <v>3980</v>
      </c>
      <c r="L382" s="136" t="s">
        <v>3981</v>
      </c>
      <c r="M382" s="136" t="s">
        <v>3982</v>
      </c>
      <c r="N382" s="138" t="s">
        <v>3794</v>
      </c>
    </row>
    <row r="383" spans="2:14" x14ac:dyDescent="0.25">
      <c r="B383" s="801" t="s">
        <v>4024</v>
      </c>
      <c r="C383" s="802"/>
      <c r="D383" s="802"/>
      <c r="E383" s="802"/>
      <c r="F383" s="802"/>
      <c r="G383" s="802"/>
      <c r="H383" s="802"/>
      <c r="I383" s="802"/>
      <c r="J383" s="803"/>
      <c r="K383" s="490"/>
      <c r="L383" s="17"/>
      <c r="M383" s="45">
        <f>N383</f>
        <v>0</v>
      </c>
      <c r="N383" s="143">
        <f>K383*L383</f>
        <v>0</v>
      </c>
    </row>
    <row r="384" spans="2:14" x14ac:dyDescent="0.25">
      <c r="B384" s="798" t="s">
        <v>3984</v>
      </c>
      <c r="C384" s="799"/>
      <c r="D384" s="799"/>
      <c r="E384" s="799"/>
      <c r="F384" s="799"/>
      <c r="G384" s="799"/>
      <c r="H384" s="799"/>
      <c r="I384" s="136" t="s">
        <v>3985</v>
      </c>
      <c r="J384" s="136" t="s">
        <v>3986</v>
      </c>
      <c r="K384" s="136" t="s">
        <v>3987</v>
      </c>
      <c r="L384" s="136" t="s">
        <v>3981</v>
      </c>
      <c r="M384" s="136" t="s">
        <v>3982</v>
      </c>
      <c r="N384" s="138" t="s">
        <v>3794</v>
      </c>
    </row>
    <row r="385" spans="2:14" x14ac:dyDescent="0.25">
      <c r="B385" s="139">
        <v>1</v>
      </c>
      <c r="C385" s="791"/>
      <c r="D385" s="791"/>
      <c r="E385" s="791"/>
      <c r="F385" s="791"/>
      <c r="G385" s="791"/>
      <c r="H385" s="792"/>
      <c r="I385" s="547">
        <v>0.5</v>
      </c>
      <c r="J385" s="16"/>
      <c r="K385" s="48">
        <f t="shared" ref="K385:K414" si="36">IF(OR(I385=0,J385=0),0,IF((((($L$6^2*I385^2)/$H$6^2)*J385)/((($L$6^2*I385^2)/$H$6^2)+J385))&lt;(($L$6^2*I385^2)/$H$6^2),ROUND((((($L$6^2*I385^2)/$H$6^2)*J385)/((($L$6^2*I385^2)/$H$6^2)+J385)),0),ROUND((($L$6^2*I385^2)/$H$6^2),0)))</f>
        <v>0</v>
      </c>
      <c r="L385" s="17"/>
      <c r="M385" s="45">
        <f>N385</f>
        <v>0</v>
      </c>
      <c r="N385" s="143">
        <f t="shared" ref="N385:N414" si="37">K385*L385</f>
        <v>0</v>
      </c>
    </row>
    <row r="386" spans="2:14" x14ac:dyDescent="0.25">
      <c r="B386" s="139">
        <v>2</v>
      </c>
      <c r="C386" s="791"/>
      <c r="D386" s="791"/>
      <c r="E386" s="791"/>
      <c r="F386" s="791"/>
      <c r="G386" s="791"/>
      <c r="H386" s="792"/>
      <c r="I386" s="547">
        <v>0.5</v>
      </c>
      <c r="J386" s="16"/>
      <c r="K386" s="48">
        <f t="shared" si="36"/>
        <v>0</v>
      </c>
      <c r="L386" s="17"/>
      <c r="M386" s="45">
        <f>N386</f>
        <v>0</v>
      </c>
      <c r="N386" s="143">
        <f t="shared" si="37"/>
        <v>0</v>
      </c>
    </row>
    <row r="387" spans="2:14" x14ac:dyDescent="0.25">
      <c r="B387" s="139">
        <v>3</v>
      </c>
      <c r="C387" s="791"/>
      <c r="D387" s="791"/>
      <c r="E387" s="791"/>
      <c r="F387" s="791"/>
      <c r="G387" s="791"/>
      <c r="H387" s="792"/>
      <c r="I387" s="547">
        <v>0.5</v>
      </c>
      <c r="J387" s="16"/>
      <c r="K387" s="48">
        <f t="shared" si="36"/>
        <v>0</v>
      </c>
      <c r="L387" s="17"/>
      <c r="M387" s="45">
        <f>N387</f>
        <v>0</v>
      </c>
      <c r="N387" s="143">
        <f t="shared" si="37"/>
        <v>0</v>
      </c>
    </row>
    <row r="388" spans="2:14" x14ac:dyDescent="0.25">
      <c r="B388" s="139">
        <v>4</v>
      </c>
      <c r="C388" s="791"/>
      <c r="D388" s="791"/>
      <c r="E388" s="791"/>
      <c r="F388" s="791"/>
      <c r="G388" s="791"/>
      <c r="H388" s="792"/>
      <c r="I388" s="547">
        <v>0.5</v>
      </c>
      <c r="J388" s="16"/>
      <c r="K388" s="48">
        <f t="shared" si="36"/>
        <v>0</v>
      </c>
      <c r="L388" s="17"/>
      <c r="M388" s="45">
        <f t="shared" ref="M388:M414" si="38">N388</f>
        <v>0</v>
      </c>
      <c r="N388" s="143">
        <f t="shared" si="37"/>
        <v>0</v>
      </c>
    </row>
    <row r="389" spans="2:14" x14ac:dyDescent="0.25">
      <c r="B389" s="139">
        <v>5</v>
      </c>
      <c r="C389" s="791"/>
      <c r="D389" s="791"/>
      <c r="E389" s="791"/>
      <c r="F389" s="791"/>
      <c r="G389" s="791"/>
      <c r="H389" s="792"/>
      <c r="I389" s="547">
        <v>0.5</v>
      </c>
      <c r="J389" s="16"/>
      <c r="K389" s="48">
        <f t="shared" si="36"/>
        <v>0</v>
      </c>
      <c r="L389" s="17"/>
      <c r="M389" s="45">
        <f t="shared" si="38"/>
        <v>0</v>
      </c>
      <c r="N389" s="143">
        <f t="shared" si="37"/>
        <v>0</v>
      </c>
    </row>
    <row r="390" spans="2:14" x14ac:dyDescent="0.25">
      <c r="B390" s="139">
        <v>6</v>
      </c>
      <c r="C390" s="791"/>
      <c r="D390" s="791"/>
      <c r="E390" s="791"/>
      <c r="F390" s="791"/>
      <c r="G390" s="791"/>
      <c r="H390" s="792"/>
      <c r="I390" s="547">
        <v>0.5</v>
      </c>
      <c r="J390" s="16"/>
      <c r="K390" s="48">
        <f t="shared" si="36"/>
        <v>0</v>
      </c>
      <c r="L390" s="17"/>
      <c r="M390" s="45">
        <f t="shared" si="38"/>
        <v>0</v>
      </c>
      <c r="N390" s="143">
        <f t="shared" si="37"/>
        <v>0</v>
      </c>
    </row>
    <row r="391" spans="2:14" x14ac:dyDescent="0.25">
      <c r="B391" s="139">
        <v>7</v>
      </c>
      <c r="C391" s="791"/>
      <c r="D391" s="791"/>
      <c r="E391" s="791"/>
      <c r="F391" s="791"/>
      <c r="G391" s="791"/>
      <c r="H391" s="792"/>
      <c r="I391" s="547">
        <v>0.5</v>
      </c>
      <c r="J391" s="16"/>
      <c r="K391" s="48">
        <f t="shared" si="36"/>
        <v>0</v>
      </c>
      <c r="L391" s="17"/>
      <c r="M391" s="45">
        <f t="shared" si="38"/>
        <v>0</v>
      </c>
      <c r="N391" s="143">
        <f t="shared" si="37"/>
        <v>0</v>
      </c>
    </row>
    <row r="392" spans="2:14" x14ac:dyDescent="0.25">
      <c r="B392" s="139">
        <v>8</v>
      </c>
      <c r="C392" s="791"/>
      <c r="D392" s="791"/>
      <c r="E392" s="791"/>
      <c r="F392" s="791"/>
      <c r="G392" s="791"/>
      <c r="H392" s="792"/>
      <c r="I392" s="547">
        <v>0.5</v>
      </c>
      <c r="J392" s="16"/>
      <c r="K392" s="48">
        <f t="shared" si="36"/>
        <v>0</v>
      </c>
      <c r="L392" s="17"/>
      <c r="M392" s="45">
        <f t="shared" si="38"/>
        <v>0</v>
      </c>
      <c r="N392" s="143">
        <f t="shared" si="37"/>
        <v>0</v>
      </c>
    </row>
    <row r="393" spans="2:14" x14ac:dyDescent="0.25">
      <c r="B393" s="139">
        <v>9</v>
      </c>
      <c r="C393" s="791"/>
      <c r="D393" s="791"/>
      <c r="E393" s="791"/>
      <c r="F393" s="791"/>
      <c r="G393" s="791"/>
      <c r="H393" s="792"/>
      <c r="I393" s="547">
        <v>0.5</v>
      </c>
      <c r="J393" s="16"/>
      <c r="K393" s="48">
        <f t="shared" si="36"/>
        <v>0</v>
      </c>
      <c r="L393" s="17"/>
      <c r="M393" s="45">
        <f t="shared" si="38"/>
        <v>0</v>
      </c>
      <c r="N393" s="143">
        <f t="shared" si="37"/>
        <v>0</v>
      </c>
    </row>
    <row r="394" spans="2:14" x14ac:dyDescent="0.25">
      <c r="B394" s="139">
        <v>10</v>
      </c>
      <c r="C394" s="791"/>
      <c r="D394" s="791"/>
      <c r="E394" s="791"/>
      <c r="F394" s="791"/>
      <c r="G394" s="791"/>
      <c r="H394" s="792"/>
      <c r="I394" s="547">
        <v>0.5</v>
      </c>
      <c r="J394" s="16"/>
      <c r="K394" s="48">
        <f t="shared" si="36"/>
        <v>0</v>
      </c>
      <c r="L394" s="17"/>
      <c r="M394" s="45">
        <f t="shared" si="38"/>
        <v>0</v>
      </c>
      <c r="N394" s="143">
        <f t="shared" si="37"/>
        <v>0</v>
      </c>
    </row>
    <row r="395" spans="2:14" x14ac:dyDescent="0.25">
      <c r="B395" s="139">
        <v>11</v>
      </c>
      <c r="C395" s="791"/>
      <c r="D395" s="791"/>
      <c r="E395" s="791"/>
      <c r="F395" s="791"/>
      <c r="G395" s="791"/>
      <c r="H395" s="792"/>
      <c r="I395" s="547">
        <v>0.5</v>
      </c>
      <c r="J395" s="16"/>
      <c r="K395" s="48">
        <f t="shared" si="36"/>
        <v>0</v>
      </c>
      <c r="L395" s="17"/>
      <c r="M395" s="45">
        <f t="shared" si="38"/>
        <v>0</v>
      </c>
      <c r="N395" s="143">
        <f t="shared" si="37"/>
        <v>0</v>
      </c>
    </row>
    <row r="396" spans="2:14" x14ac:dyDescent="0.25">
      <c r="B396" s="139">
        <v>12</v>
      </c>
      <c r="C396" s="791"/>
      <c r="D396" s="791"/>
      <c r="E396" s="791"/>
      <c r="F396" s="791"/>
      <c r="G396" s="791"/>
      <c r="H396" s="792"/>
      <c r="I396" s="547">
        <v>0.5</v>
      </c>
      <c r="J396" s="16"/>
      <c r="K396" s="48">
        <f t="shared" si="36"/>
        <v>0</v>
      </c>
      <c r="L396" s="17"/>
      <c r="M396" s="45">
        <f t="shared" si="38"/>
        <v>0</v>
      </c>
      <c r="N396" s="143">
        <f t="shared" si="37"/>
        <v>0</v>
      </c>
    </row>
    <row r="397" spans="2:14" x14ac:dyDescent="0.25">
      <c r="B397" s="139">
        <v>13</v>
      </c>
      <c r="C397" s="791"/>
      <c r="D397" s="791"/>
      <c r="E397" s="791"/>
      <c r="F397" s="791"/>
      <c r="G397" s="791"/>
      <c r="H397" s="792"/>
      <c r="I397" s="547">
        <v>0.5</v>
      </c>
      <c r="J397" s="16"/>
      <c r="K397" s="48">
        <f t="shared" si="36"/>
        <v>0</v>
      </c>
      <c r="L397" s="17"/>
      <c r="M397" s="45">
        <f t="shared" si="38"/>
        <v>0</v>
      </c>
      <c r="N397" s="143">
        <f t="shared" si="37"/>
        <v>0</v>
      </c>
    </row>
    <row r="398" spans="2:14" x14ac:dyDescent="0.25">
      <c r="B398" s="139">
        <v>14</v>
      </c>
      <c r="C398" s="791"/>
      <c r="D398" s="791"/>
      <c r="E398" s="791"/>
      <c r="F398" s="791"/>
      <c r="G398" s="791"/>
      <c r="H398" s="792"/>
      <c r="I398" s="547">
        <v>0.5</v>
      </c>
      <c r="J398" s="16"/>
      <c r="K398" s="48">
        <f t="shared" si="36"/>
        <v>0</v>
      </c>
      <c r="L398" s="17"/>
      <c r="M398" s="45">
        <f t="shared" si="38"/>
        <v>0</v>
      </c>
      <c r="N398" s="143">
        <f t="shared" si="37"/>
        <v>0</v>
      </c>
    </row>
    <row r="399" spans="2:14" x14ac:dyDescent="0.25">
      <c r="B399" s="139">
        <v>15</v>
      </c>
      <c r="C399" s="791"/>
      <c r="D399" s="791"/>
      <c r="E399" s="791"/>
      <c r="F399" s="791"/>
      <c r="G399" s="791"/>
      <c r="H399" s="792"/>
      <c r="I399" s="547">
        <v>0.5</v>
      </c>
      <c r="J399" s="16"/>
      <c r="K399" s="48">
        <f t="shared" si="36"/>
        <v>0</v>
      </c>
      <c r="L399" s="17"/>
      <c r="M399" s="45">
        <f t="shared" si="38"/>
        <v>0</v>
      </c>
      <c r="N399" s="143">
        <f t="shared" si="37"/>
        <v>0</v>
      </c>
    </row>
    <row r="400" spans="2:14" x14ac:dyDescent="0.25">
      <c r="B400" s="139">
        <v>16</v>
      </c>
      <c r="C400" s="791"/>
      <c r="D400" s="791"/>
      <c r="E400" s="791"/>
      <c r="F400" s="791"/>
      <c r="G400" s="791"/>
      <c r="H400" s="792"/>
      <c r="I400" s="547">
        <v>0.5</v>
      </c>
      <c r="J400" s="16"/>
      <c r="K400" s="48">
        <f t="shared" si="36"/>
        <v>0</v>
      </c>
      <c r="L400" s="17"/>
      <c r="M400" s="45">
        <f t="shared" si="38"/>
        <v>0</v>
      </c>
      <c r="N400" s="143">
        <f t="shared" si="37"/>
        <v>0</v>
      </c>
    </row>
    <row r="401" spans="2:14" x14ac:dyDescent="0.25">
      <c r="B401" s="139">
        <v>17</v>
      </c>
      <c r="C401" s="791"/>
      <c r="D401" s="791"/>
      <c r="E401" s="791"/>
      <c r="F401" s="791"/>
      <c r="G401" s="791"/>
      <c r="H401" s="792"/>
      <c r="I401" s="547">
        <v>0.5</v>
      </c>
      <c r="J401" s="16"/>
      <c r="K401" s="48">
        <f t="shared" si="36"/>
        <v>0</v>
      </c>
      <c r="L401" s="17"/>
      <c r="M401" s="45">
        <f t="shared" si="38"/>
        <v>0</v>
      </c>
      <c r="N401" s="143">
        <f t="shared" si="37"/>
        <v>0</v>
      </c>
    </row>
    <row r="402" spans="2:14" x14ac:dyDescent="0.25">
      <c r="B402" s="139">
        <v>18</v>
      </c>
      <c r="C402" s="791"/>
      <c r="D402" s="791"/>
      <c r="E402" s="791"/>
      <c r="F402" s="791"/>
      <c r="G402" s="791"/>
      <c r="H402" s="792"/>
      <c r="I402" s="547">
        <v>0.5</v>
      </c>
      <c r="J402" s="16"/>
      <c r="K402" s="48">
        <f t="shared" si="36"/>
        <v>0</v>
      </c>
      <c r="L402" s="17"/>
      <c r="M402" s="45">
        <f t="shared" si="38"/>
        <v>0</v>
      </c>
      <c r="N402" s="143">
        <f t="shared" si="37"/>
        <v>0</v>
      </c>
    </row>
    <row r="403" spans="2:14" x14ac:dyDescent="0.25">
      <c r="B403" s="139">
        <v>19</v>
      </c>
      <c r="C403" s="791"/>
      <c r="D403" s="791"/>
      <c r="E403" s="791"/>
      <c r="F403" s="791"/>
      <c r="G403" s="791"/>
      <c r="H403" s="792"/>
      <c r="I403" s="547">
        <v>0.5</v>
      </c>
      <c r="J403" s="16"/>
      <c r="K403" s="48">
        <f t="shared" si="36"/>
        <v>0</v>
      </c>
      <c r="L403" s="17"/>
      <c r="M403" s="45">
        <f t="shared" si="38"/>
        <v>0</v>
      </c>
      <c r="N403" s="143">
        <f t="shared" si="37"/>
        <v>0</v>
      </c>
    </row>
    <row r="404" spans="2:14" x14ac:dyDescent="0.25">
      <c r="B404" s="139">
        <v>20</v>
      </c>
      <c r="C404" s="791"/>
      <c r="D404" s="791"/>
      <c r="E404" s="791"/>
      <c r="F404" s="791"/>
      <c r="G404" s="791"/>
      <c r="H404" s="792"/>
      <c r="I404" s="547">
        <v>0.5</v>
      </c>
      <c r="J404" s="16"/>
      <c r="K404" s="48">
        <f t="shared" si="36"/>
        <v>0</v>
      </c>
      <c r="L404" s="17"/>
      <c r="M404" s="45">
        <f t="shared" si="38"/>
        <v>0</v>
      </c>
      <c r="N404" s="143">
        <f t="shared" si="37"/>
        <v>0</v>
      </c>
    </row>
    <row r="405" spans="2:14" x14ac:dyDescent="0.25">
      <c r="B405" s="139">
        <v>21</v>
      </c>
      <c r="C405" s="791"/>
      <c r="D405" s="791"/>
      <c r="E405" s="791"/>
      <c r="F405" s="791"/>
      <c r="G405" s="791"/>
      <c r="H405" s="792"/>
      <c r="I405" s="547">
        <v>0.5</v>
      </c>
      <c r="J405" s="16"/>
      <c r="K405" s="48">
        <f t="shared" si="36"/>
        <v>0</v>
      </c>
      <c r="L405" s="17"/>
      <c r="M405" s="45">
        <f t="shared" si="38"/>
        <v>0</v>
      </c>
      <c r="N405" s="143">
        <f t="shared" si="37"/>
        <v>0</v>
      </c>
    </row>
    <row r="406" spans="2:14" x14ac:dyDescent="0.25">
      <c r="B406" s="139">
        <v>22</v>
      </c>
      <c r="C406" s="791"/>
      <c r="D406" s="791"/>
      <c r="E406" s="791"/>
      <c r="F406" s="791"/>
      <c r="G406" s="791"/>
      <c r="H406" s="792"/>
      <c r="I406" s="547">
        <v>0.5</v>
      </c>
      <c r="J406" s="16"/>
      <c r="K406" s="48">
        <f t="shared" si="36"/>
        <v>0</v>
      </c>
      <c r="L406" s="17"/>
      <c r="M406" s="45">
        <f t="shared" si="38"/>
        <v>0</v>
      </c>
      <c r="N406" s="143">
        <f t="shared" si="37"/>
        <v>0</v>
      </c>
    </row>
    <row r="407" spans="2:14" x14ac:dyDescent="0.25">
      <c r="B407" s="139">
        <v>23</v>
      </c>
      <c r="C407" s="791"/>
      <c r="D407" s="791"/>
      <c r="E407" s="791"/>
      <c r="F407" s="791"/>
      <c r="G407" s="791"/>
      <c r="H407" s="792"/>
      <c r="I407" s="547">
        <v>0.5</v>
      </c>
      <c r="J407" s="16"/>
      <c r="K407" s="48">
        <f t="shared" si="36"/>
        <v>0</v>
      </c>
      <c r="L407" s="17"/>
      <c r="M407" s="45">
        <f t="shared" si="38"/>
        <v>0</v>
      </c>
      <c r="N407" s="143">
        <f t="shared" si="37"/>
        <v>0</v>
      </c>
    </row>
    <row r="408" spans="2:14" x14ac:dyDescent="0.25">
      <c r="B408" s="139">
        <v>24</v>
      </c>
      <c r="C408" s="791"/>
      <c r="D408" s="791"/>
      <c r="E408" s="791"/>
      <c r="F408" s="791"/>
      <c r="G408" s="791"/>
      <c r="H408" s="792"/>
      <c r="I408" s="547">
        <v>0.5</v>
      </c>
      <c r="J408" s="16"/>
      <c r="K408" s="48">
        <f t="shared" si="36"/>
        <v>0</v>
      </c>
      <c r="L408" s="17"/>
      <c r="M408" s="45">
        <f t="shared" si="38"/>
        <v>0</v>
      </c>
      <c r="N408" s="143">
        <f t="shared" si="37"/>
        <v>0</v>
      </c>
    </row>
    <row r="409" spans="2:14" x14ac:dyDescent="0.25">
      <c r="B409" s="139">
        <v>25</v>
      </c>
      <c r="C409" s="791"/>
      <c r="D409" s="791"/>
      <c r="E409" s="791"/>
      <c r="F409" s="791"/>
      <c r="G409" s="791"/>
      <c r="H409" s="792"/>
      <c r="I409" s="547">
        <v>0.5</v>
      </c>
      <c r="J409" s="16"/>
      <c r="K409" s="48">
        <f t="shared" si="36"/>
        <v>0</v>
      </c>
      <c r="L409" s="17"/>
      <c r="M409" s="45">
        <f t="shared" si="38"/>
        <v>0</v>
      </c>
      <c r="N409" s="143">
        <f t="shared" si="37"/>
        <v>0</v>
      </c>
    </row>
    <row r="410" spans="2:14" x14ac:dyDescent="0.25">
      <c r="B410" s="139">
        <v>26</v>
      </c>
      <c r="C410" s="791"/>
      <c r="D410" s="791"/>
      <c r="E410" s="791"/>
      <c r="F410" s="791"/>
      <c r="G410" s="791"/>
      <c r="H410" s="792"/>
      <c r="I410" s="547">
        <v>0.5</v>
      </c>
      <c r="J410" s="16"/>
      <c r="K410" s="48">
        <f t="shared" si="36"/>
        <v>0</v>
      </c>
      <c r="L410" s="17"/>
      <c r="M410" s="45">
        <f t="shared" si="38"/>
        <v>0</v>
      </c>
      <c r="N410" s="143">
        <f t="shared" si="37"/>
        <v>0</v>
      </c>
    </row>
    <row r="411" spans="2:14" x14ac:dyDescent="0.25">
      <c r="B411" s="139">
        <v>27</v>
      </c>
      <c r="C411" s="791"/>
      <c r="D411" s="791"/>
      <c r="E411" s="791"/>
      <c r="F411" s="791"/>
      <c r="G411" s="791"/>
      <c r="H411" s="792"/>
      <c r="I411" s="547">
        <v>0.5</v>
      </c>
      <c r="J411" s="16"/>
      <c r="K411" s="48">
        <f t="shared" si="36"/>
        <v>0</v>
      </c>
      <c r="L411" s="17"/>
      <c r="M411" s="45">
        <f t="shared" si="38"/>
        <v>0</v>
      </c>
      <c r="N411" s="143">
        <f t="shared" si="37"/>
        <v>0</v>
      </c>
    </row>
    <row r="412" spans="2:14" x14ac:dyDescent="0.25">
      <c r="B412" s="139">
        <v>28</v>
      </c>
      <c r="C412" s="791"/>
      <c r="D412" s="791"/>
      <c r="E412" s="791"/>
      <c r="F412" s="791"/>
      <c r="G412" s="791"/>
      <c r="H412" s="792"/>
      <c r="I412" s="547">
        <v>0.5</v>
      </c>
      <c r="J412" s="16"/>
      <c r="K412" s="48">
        <f t="shared" si="36"/>
        <v>0</v>
      </c>
      <c r="L412" s="17"/>
      <c r="M412" s="45">
        <f t="shared" si="38"/>
        <v>0</v>
      </c>
      <c r="N412" s="143">
        <f t="shared" si="37"/>
        <v>0</v>
      </c>
    </row>
    <row r="413" spans="2:14" x14ac:dyDescent="0.25">
      <c r="B413" s="139">
        <v>29</v>
      </c>
      <c r="C413" s="791"/>
      <c r="D413" s="791"/>
      <c r="E413" s="791"/>
      <c r="F413" s="791"/>
      <c r="G413" s="791"/>
      <c r="H413" s="792"/>
      <c r="I413" s="547">
        <v>0.5</v>
      </c>
      <c r="J413" s="16"/>
      <c r="K413" s="48">
        <f t="shared" si="36"/>
        <v>0</v>
      </c>
      <c r="L413" s="17"/>
      <c r="M413" s="45">
        <f t="shared" si="38"/>
        <v>0</v>
      </c>
      <c r="N413" s="143">
        <f t="shared" si="37"/>
        <v>0</v>
      </c>
    </row>
    <row r="414" spans="2:14" x14ac:dyDescent="0.25">
      <c r="B414" s="139">
        <v>30</v>
      </c>
      <c r="C414" s="791"/>
      <c r="D414" s="791"/>
      <c r="E414" s="791"/>
      <c r="F414" s="791"/>
      <c r="G414" s="791"/>
      <c r="H414" s="792"/>
      <c r="I414" s="547">
        <v>0.5</v>
      </c>
      <c r="J414" s="16"/>
      <c r="K414" s="48">
        <f t="shared" si="36"/>
        <v>0</v>
      </c>
      <c r="L414" s="17"/>
      <c r="M414" s="45">
        <f t="shared" si="38"/>
        <v>0</v>
      </c>
      <c r="N414" s="143">
        <f t="shared" si="37"/>
        <v>0</v>
      </c>
    </row>
    <row r="415" spans="2:14" x14ac:dyDescent="0.25">
      <c r="B415" s="144"/>
      <c r="C415" s="793" t="s">
        <v>4025</v>
      </c>
      <c r="D415" s="793"/>
      <c r="E415" s="793"/>
      <c r="F415" s="793"/>
      <c r="G415" s="793"/>
      <c r="H415" s="793"/>
      <c r="I415" s="793"/>
      <c r="J415" s="793"/>
      <c r="K415" s="793"/>
      <c r="L415" s="794"/>
      <c r="M415" s="45">
        <f>SUM(M383:M414)</f>
        <v>0</v>
      </c>
      <c r="N415" s="145">
        <f>SUM(N383:N414)</f>
        <v>0</v>
      </c>
    </row>
    <row r="416" spans="2:14" x14ac:dyDescent="0.25">
      <c r="B416" s="146"/>
      <c r="C416" s="795" t="s">
        <v>4026</v>
      </c>
      <c r="D416" s="795"/>
      <c r="E416" s="795"/>
      <c r="F416" s="795"/>
      <c r="G416" s="795"/>
      <c r="H416" s="795"/>
      <c r="I416" s="795"/>
      <c r="J416" s="795"/>
      <c r="K416" s="795"/>
      <c r="L416" s="796"/>
      <c r="M416" s="45">
        <f>SUM(M380,M415)</f>
        <v>0</v>
      </c>
      <c r="N416" s="147">
        <f>SUM(N380,N415)</f>
        <v>0</v>
      </c>
    </row>
    <row r="417" spans="2:14" x14ac:dyDescent="0.25">
      <c r="B417" s="734" t="s">
        <v>5876</v>
      </c>
      <c r="C417" s="735"/>
      <c r="D417" s="735"/>
      <c r="E417" s="735"/>
      <c r="F417" s="735"/>
      <c r="G417" s="735"/>
      <c r="H417" s="735"/>
      <c r="I417" s="735"/>
      <c r="J417" s="735"/>
      <c r="K417" s="735"/>
      <c r="L417" s="735"/>
      <c r="M417" s="735"/>
      <c r="N417" s="736"/>
    </row>
    <row r="418" spans="2:14" x14ac:dyDescent="0.25">
      <c r="B418" s="805" t="s">
        <v>3989</v>
      </c>
      <c r="C418" s="805"/>
      <c r="D418" s="805"/>
      <c r="E418" s="805"/>
      <c r="F418" s="805"/>
      <c r="G418" s="805"/>
      <c r="H418" s="805"/>
      <c r="I418" s="805"/>
      <c r="J418" s="805"/>
      <c r="K418" s="805"/>
      <c r="L418" s="805"/>
      <c r="M418" s="797" t="s">
        <v>3909</v>
      </c>
      <c r="N418" s="797"/>
    </row>
    <row r="419" spans="2:14" x14ac:dyDescent="0.25">
      <c r="B419" s="798" t="s">
        <v>3979</v>
      </c>
      <c r="C419" s="799"/>
      <c r="D419" s="799"/>
      <c r="E419" s="799"/>
      <c r="F419" s="799"/>
      <c r="G419" s="799"/>
      <c r="H419" s="799"/>
      <c r="I419" s="799"/>
      <c r="J419" s="800"/>
      <c r="K419" s="136" t="s">
        <v>3980</v>
      </c>
      <c r="L419" s="136" t="s">
        <v>3981</v>
      </c>
      <c r="M419" s="136" t="s">
        <v>3982</v>
      </c>
      <c r="N419" s="138" t="s">
        <v>3794</v>
      </c>
    </row>
    <row r="420" spans="2:14" x14ac:dyDescent="0.25">
      <c r="B420" s="801" t="s">
        <v>5155</v>
      </c>
      <c r="C420" s="802"/>
      <c r="D420" s="802"/>
      <c r="E420" s="802"/>
      <c r="F420" s="802"/>
      <c r="G420" s="802"/>
      <c r="H420" s="802"/>
      <c r="I420" s="802"/>
      <c r="J420" s="803"/>
      <c r="K420" s="490"/>
      <c r="L420" s="17"/>
      <c r="M420" s="45">
        <f>N420</f>
        <v>0</v>
      </c>
      <c r="N420" s="143">
        <f>K420*L420</f>
        <v>0</v>
      </c>
    </row>
    <row r="421" spans="2:14" x14ac:dyDescent="0.25">
      <c r="B421" s="798" t="s">
        <v>3984</v>
      </c>
      <c r="C421" s="799"/>
      <c r="D421" s="799"/>
      <c r="E421" s="799"/>
      <c r="F421" s="799"/>
      <c r="G421" s="799"/>
      <c r="H421" s="799"/>
      <c r="I421" s="136" t="s">
        <v>3985</v>
      </c>
      <c r="J421" s="136" t="s">
        <v>3986</v>
      </c>
      <c r="K421" s="136" t="s">
        <v>3987</v>
      </c>
      <c r="L421" s="136" t="s">
        <v>3981</v>
      </c>
      <c r="M421" s="136" t="s">
        <v>3982</v>
      </c>
      <c r="N421" s="138" t="s">
        <v>3794</v>
      </c>
    </row>
    <row r="422" spans="2:14" x14ac:dyDescent="0.25">
      <c r="B422" s="139">
        <v>1</v>
      </c>
      <c r="C422" s="791"/>
      <c r="D422" s="791"/>
      <c r="E422" s="791"/>
      <c r="F422" s="791"/>
      <c r="G422" s="791"/>
      <c r="H422" s="792"/>
      <c r="I422" s="547">
        <v>0.5</v>
      </c>
      <c r="J422" s="16"/>
      <c r="K422" s="48">
        <f t="shared" ref="K422:K451" si="39">IF(OR(I422=0,J422=0),0,IF((((($L$6^2*I422^2)/$H$6^2)*J422)/((($L$6^2*I422^2)/$H$6^2)+J422))&lt;(($L$6^2*I422^2)/$H$6^2),ROUND((((($L$6^2*I422^2)/$H$6^2)*J422)/((($L$6^2*I422^2)/$H$6^2)+J422)),0),ROUND((($L$6^2*I422^2)/$H$6^2),0)))</f>
        <v>0</v>
      </c>
      <c r="L422" s="17"/>
      <c r="M422" s="45">
        <f>N422</f>
        <v>0</v>
      </c>
      <c r="N422" s="143">
        <f t="shared" ref="N422:N451" si="40">K422*L422</f>
        <v>0</v>
      </c>
    </row>
    <row r="423" spans="2:14" x14ac:dyDescent="0.25">
      <c r="B423" s="139">
        <v>2</v>
      </c>
      <c r="C423" s="791"/>
      <c r="D423" s="791"/>
      <c r="E423" s="791"/>
      <c r="F423" s="791"/>
      <c r="G423" s="791"/>
      <c r="H423" s="792"/>
      <c r="I423" s="547">
        <v>0.5</v>
      </c>
      <c r="J423" s="16"/>
      <c r="K423" s="48">
        <f t="shared" si="39"/>
        <v>0</v>
      </c>
      <c r="L423" s="17"/>
      <c r="M423" s="45">
        <f>N423</f>
        <v>0</v>
      </c>
      <c r="N423" s="143">
        <f t="shared" si="40"/>
        <v>0</v>
      </c>
    </row>
    <row r="424" spans="2:14" x14ac:dyDescent="0.25">
      <c r="B424" s="139">
        <v>3</v>
      </c>
      <c r="C424" s="791"/>
      <c r="D424" s="791"/>
      <c r="E424" s="791"/>
      <c r="F424" s="791"/>
      <c r="G424" s="791"/>
      <c r="H424" s="792"/>
      <c r="I424" s="547">
        <v>0.5</v>
      </c>
      <c r="J424" s="16"/>
      <c r="K424" s="48">
        <f t="shared" si="39"/>
        <v>0</v>
      </c>
      <c r="L424" s="17"/>
      <c r="M424" s="45">
        <f>N424</f>
        <v>0</v>
      </c>
      <c r="N424" s="143">
        <f t="shared" si="40"/>
        <v>0</v>
      </c>
    </row>
    <row r="425" spans="2:14" x14ac:dyDescent="0.25">
      <c r="B425" s="139">
        <v>4</v>
      </c>
      <c r="C425" s="791"/>
      <c r="D425" s="791"/>
      <c r="E425" s="791"/>
      <c r="F425" s="791"/>
      <c r="G425" s="791"/>
      <c r="H425" s="792"/>
      <c r="I425" s="547">
        <v>0.5</v>
      </c>
      <c r="J425" s="16"/>
      <c r="K425" s="48">
        <f t="shared" si="39"/>
        <v>0</v>
      </c>
      <c r="L425" s="17"/>
      <c r="M425" s="45">
        <f t="shared" ref="M425:M451" si="41">N425</f>
        <v>0</v>
      </c>
      <c r="N425" s="143">
        <f t="shared" si="40"/>
        <v>0</v>
      </c>
    </row>
    <row r="426" spans="2:14" x14ac:dyDescent="0.25">
      <c r="B426" s="139">
        <v>5</v>
      </c>
      <c r="C426" s="791"/>
      <c r="D426" s="791"/>
      <c r="E426" s="791"/>
      <c r="F426" s="791"/>
      <c r="G426" s="791"/>
      <c r="H426" s="792"/>
      <c r="I426" s="547">
        <v>0.5</v>
      </c>
      <c r="J426" s="16"/>
      <c r="K426" s="48">
        <f t="shared" si="39"/>
        <v>0</v>
      </c>
      <c r="L426" s="17"/>
      <c r="M426" s="45">
        <f t="shared" si="41"/>
        <v>0</v>
      </c>
      <c r="N426" s="143">
        <f t="shared" si="40"/>
        <v>0</v>
      </c>
    </row>
    <row r="427" spans="2:14" x14ac:dyDescent="0.25">
      <c r="B427" s="139">
        <v>6</v>
      </c>
      <c r="C427" s="791"/>
      <c r="D427" s="791"/>
      <c r="E427" s="791"/>
      <c r="F427" s="791"/>
      <c r="G427" s="791"/>
      <c r="H427" s="792"/>
      <c r="I427" s="547">
        <v>0.5</v>
      </c>
      <c r="J427" s="16"/>
      <c r="K427" s="48">
        <f t="shared" si="39"/>
        <v>0</v>
      </c>
      <c r="L427" s="17"/>
      <c r="M427" s="45">
        <f t="shared" si="41"/>
        <v>0</v>
      </c>
      <c r="N427" s="143">
        <f t="shared" si="40"/>
        <v>0</v>
      </c>
    </row>
    <row r="428" spans="2:14" x14ac:dyDescent="0.25">
      <c r="B428" s="139">
        <v>7</v>
      </c>
      <c r="C428" s="791"/>
      <c r="D428" s="791"/>
      <c r="E428" s="791"/>
      <c r="F428" s="791"/>
      <c r="G428" s="791"/>
      <c r="H428" s="792"/>
      <c r="I428" s="547">
        <v>0.5</v>
      </c>
      <c r="J428" s="16"/>
      <c r="K428" s="48">
        <f t="shared" si="39"/>
        <v>0</v>
      </c>
      <c r="L428" s="17"/>
      <c r="M428" s="45">
        <f t="shared" si="41"/>
        <v>0</v>
      </c>
      <c r="N428" s="143">
        <f t="shared" si="40"/>
        <v>0</v>
      </c>
    </row>
    <row r="429" spans="2:14" x14ac:dyDescent="0.25">
      <c r="B429" s="139">
        <v>8</v>
      </c>
      <c r="C429" s="791"/>
      <c r="D429" s="791"/>
      <c r="E429" s="791"/>
      <c r="F429" s="791"/>
      <c r="G429" s="791"/>
      <c r="H429" s="792"/>
      <c r="I429" s="547">
        <v>0.5</v>
      </c>
      <c r="J429" s="16"/>
      <c r="K429" s="48">
        <f t="shared" si="39"/>
        <v>0</v>
      </c>
      <c r="L429" s="17"/>
      <c r="M429" s="45">
        <f t="shared" si="41"/>
        <v>0</v>
      </c>
      <c r="N429" s="143">
        <f t="shared" si="40"/>
        <v>0</v>
      </c>
    </row>
    <row r="430" spans="2:14" x14ac:dyDescent="0.25">
      <c r="B430" s="139">
        <v>9</v>
      </c>
      <c r="C430" s="791"/>
      <c r="D430" s="791"/>
      <c r="E430" s="791"/>
      <c r="F430" s="791"/>
      <c r="G430" s="791"/>
      <c r="H430" s="792"/>
      <c r="I430" s="547">
        <v>0.5</v>
      </c>
      <c r="J430" s="16"/>
      <c r="K430" s="48">
        <f t="shared" si="39"/>
        <v>0</v>
      </c>
      <c r="L430" s="17"/>
      <c r="M430" s="45">
        <f t="shared" si="41"/>
        <v>0</v>
      </c>
      <c r="N430" s="143">
        <f t="shared" si="40"/>
        <v>0</v>
      </c>
    </row>
    <row r="431" spans="2:14" x14ac:dyDescent="0.25">
      <c r="B431" s="139">
        <v>10</v>
      </c>
      <c r="C431" s="791"/>
      <c r="D431" s="791"/>
      <c r="E431" s="791"/>
      <c r="F431" s="791"/>
      <c r="G431" s="791"/>
      <c r="H431" s="792"/>
      <c r="I431" s="547">
        <v>0.5</v>
      </c>
      <c r="J431" s="16"/>
      <c r="K431" s="48">
        <f t="shared" si="39"/>
        <v>0</v>
      </c>
      <c r="L431" s="17"/>
      <c r="M431" s="45">
        <f t="shared" si="41"/>
        <v>0</v>
      </c>
      <c r="N431" s="143">
        <f t="shared" si="40"/>
        <v>0</v>
      </c>
    </row>
    <row r="432" spans="2:14" x14ac:dyDescent="0.25">
      <c r="B432" s="139">
        <v>11</v>
      </c>
      <c r="C432" s="791"/>
      <c r="D432" s="791"/>
      <c r="E432" s="791"/>
      <c r="F432" s="791"/>
      <c r="G432" s="791"/>
      <c r="H432" s="792"/>
      <c r="I432" s="547">
        <v>0.5</v>
      </c>
      <c r="J432" s="16"/>
      <c r="K432" s="48">
        <f t="shared" si="39"/>
        <v>0</v>
      </c>
      <c r="L432" s="17"/>
      <c r="M432" s="45">
        <f t="shared" si="41"/>
        <v>0</v>
      </c>
      <c r="N432" s="143">
        <f t="shared" si="40"/>
        <v>0</v>
      </c>
    </row>
    <row r="433" spans="2:14" x14ac:dyDescent="0.25">
      <c r="B433" s="139">
        <v>12</v>
      </c>
      <c r="C433" s="791"/>
      <c r="D433" s="791"/>
      <c r="E433" s="791"/>
      <c r="F433" s="791"/>
      <c r="G433" s="791"/>
      <c r="H433" s="792"/>
      <c r="I433" s="547">
        <v>0.5</v>
      </c>
      <c r="J433" s="16"/>
      <c r="K433" s="48">
        <f t="shared" si="39"/>
        <v>0</v>
      </c>
      <c r="L433" s="17"/>
      <c r="M433" s="45">
        <f t="shared" si="41"/>
        <v>0</v>
      </c>
      <c r="N433" s="143">
        <f t="shared" si="40"/>
        <v>0</v>
      </c>
    </row>
    <row r="434" spans="2:14" x14ac:dyDescent="0.25">
      <c r="B434" s="139">
        <v>13</v>
      </c>
      <c r="C434" s="791"/>
      <c r="D434" s="791"/>
      <c r="E434" s="791"/>
      <c r="F434" s="791"/>
      <c r="G434" s="791"/>
      <c r="H434" s="792"/>
      <c r="I434" s="547">
        <v>0.5</v>
      </c>
      <c r="J434" s="16"/>
      <c r="K434" s="48">
        <f t="shared" si="39"/>
        <v>0</v>
      </c>
      <c r="L434" s="17"/>
      <c r="M434" s="45">
        <f t="shared" si="41"/>
        <v>0</v>
      </c>
      <c r="N434" s="143">
        <f t="shared" si="40"/>
        <v>0</v>
      </c>
    </row>
    <row r="435" spans="2:14" x14ac:dyDescent="0.25">
      <c r="B435" s="139">
        <v>14</v>
      </c>
      <c r="C435" s="791"/>
      <c r="D435" s="791"/>
      <c r="E435" s="791"/>
      <c r="F435" s="791"/>
      <c r="G435" s="791"/>
      <c r="H435" s="792"/>
      <c r="I435" s="547">
        <v>0.5</v>
      </c>
      <c r="J435" s="16"/>
      <c r="K435" s="48">
        <f t="shared" si="39"/>
        <v>0</v>
      </c>
      <c r="L435" s="17"/>
      <c r="M435" s="45">
        <f t="shared" si="41"/>
        <v>0</v>
      </c>
      <c r="N435" s="143">
        <f t="shared" si="40"/>
        <v>0</v>
      </c>
    </row>
    <row r="436" spans="2:14" x14ac:dyDescent="0.25">
      <c r="B436" s="139">
        <v>15</v>
      </c>
      <c r="C436" s="791"/>
      <c r="D436" s="791"/>
      <c r="E436" s="791"/>
      <c r="F436" s="791"/>
      <c r="G436" s="791"/>
      <c r="H436" s="792"/>
      <c r="I436" s="547">
        <v>0.5</v>
      </c>
      <c r="J436" s="16"/>
      <c r="K436" s="48">
        <f t="shared" si="39"/>
        <v>0</v>
      </c>
      <c r="L436" s="17"/>
      <c r="M436" s="45">
        <f t="shared" si="41"/>
        <v>0</v>
      </c>
      <c r="N436" s="143">
        <f t="shared" si="40"/>
        <v>0</v>
      </c>
    </row>
    <row r="437" spans="2:14" x14ac:dyDescent="0.25">
      <c r="B437" s="139">
        <v>16</v>
      </c>
      <c r="C437" s="791"/>
      <c r="D437" s="791"/>
      <c r="E437" s="791"/>
      <c r="F437" s="791"/>
      <c r="G437" s="791"/>
      <c r="H437" s="792"/>
      <c r="I437" s="547">
        <v>0.5</v>
      </c>
      <c r="J437" s="16"/>
      <c r="K437" s="48">
        <f t="shared" si="39"/>
        <v>0</v>
      </c>
      <c r="L437" s="17"/>
      <c r="M437" s="45">
        <f t="shared" si="41"/>
        <v>0</v>
      </c>
      <c r="N437" s="143">
        <f t="shared" si="40"/>
        <v>0</v>
      </c>
    </row>
    <row r="438" spans="2:14" x14ac:dyDescent="0.25">
      <c r="B438" s="139">
        <v>17</v>
      </c>
      <c r="C438" s="791"/>
      <c r="D438" s="791"/>
      <c r="E438" s="791"/>
      <c r="F438" s="791"/>
      <c r="G438" s="791"/>
      <c r="H438" s="792"/>
      <c r="I438" s="547">
        <v>0.5</v>
      </c>
      <c r="J438" s="16"/>
      <c r="K438" s="48">
        <f t="shared" si="39"/>
        <v>0</v>
      </c>
      <c r="L438" s="17"/>
      <c r="M438" s="45">
        <f t="shared" si="41"/>
        <v>0</v>
      </c>
      <c r="N438" s="143">
        <f t="shared" si="40"/>
        <v>0</v>
      </c>
    </row>
    <row r="439" spans="2:14" x14ac:dyDescent="0.25">
      <c r="B439" s="139">
        <v>18</v>
      </c>
      <c r="C439" s="791"/>
      <c r="D439" s="791"/>
      <c r="E439" s="791"/>
      <c r="F439" s="791"/>
      <c r="G439" s="791"/>
      <c r="H439" s="792"/>
      <c r="I439" s="547">
        <v>0.5</v>
      </c>
      <c r="J439" s="16"/>
      <c r="K439" s="48">
        <f t="shared" si="39"/>
        <v>0</v>
      </c>
      <c r="L439" s="17"/>
      <c r="M439" s="45">
        <f t="shared" si="41"/>
        <v>0</v>
      </c>
      <c r="N439" s="143">
        <f t="shared" si="40"/>
        <v>0</v>
      </c>
    </row>
    <row r="440" spans="2:14" x14ac:dyDescent="0.25">
      <c r="B440" s="139">
        <v>19</v>
      </c>
      <c r="C440" s="791"/>
      <c r="D440" s="791"/>
      <c r="E440" s="791"/>
      <c r="F440" s="791"/>
      <c r="G440" s="791"/>
      <c r="H440" s="792"/>
      <c r="I440" s="547">
        <v>0.5</v>
      </c>
      <c r="J440" s="16"/>
      <c r="K440" s="48">
        <f t="shared" si="39"/>
        <v>0</v>
      </c>
      <c r="L440" s="17"/>
      <c r="M440" s="45">
        <f t="shared" si="41"/>
        <v>0</v>
      </c>
      <c r="N440" s="143">
        <f t="shared" si="40"/>
        <v>0</v>
      </c>
    </row>
    <row r="441" spans="2:14" x14ac:dyDescent="0.25">
      <c r="B441" s="139">
        <v>20</v>
      </c>
      <c r="C441" s="791"/>
      <c r="D441" s="791"/>
      <c r="E441" s="791"/>
      <c r="F441" s="791"/>
      <c r="G441" s="791"/>
      <c r="H441" s="792"/>
      <c r="I441" s="547">
        <v>0.5</v>
      </c>
      <c r="J441" s="16"/>
      <c r="K441" s="48">
        <f t="shared" si="39"/>
        <v>0</v>
      </c>
      <c r="L441" s="17"/>
      <c r="M441" s="45">
        <f t="shared" si="41"/>
        <v>0</v>
      </c>
      <c r="N441" s="143">
        <f t="shared" si="40"/>
        <v>0</v>
      </c>
    </row>
    <row r="442" spans="2:14" x14ac:dyDescent="0.25">
      <c r="B442" s="139">
        <v>21</v>
      </c>
      <c r="C442" s="791"/>
      <c r="D442" s="791"/>
      <c r="E442" s="791"/>
      <c r="F442" s="791"/>
      <c r="G442" s="791"/>
      <c r="H442" s="792"/>
      <c r="I442" s="547">
        <v>0.5</v>
      </c>
      <c r="J442" s="16"/>
      <c r="K442" s="48">
        <f t="shared" si="39"/>
        <v>0</v>
      </c>
      <c r="L442" s="17"/>
      <c r="M442" s="45">
        <f t="shared" si="41"/>
        <v>0</v>
      </c>
      <c r="N442" s="143">
        <f t="shared" si="40"/>
        <v>0</v>
      </c>
    </row>
    <row r="443" spans="2:14" x14ac:dyDescent="0.25">
      <c r="B443" s="139">
        <v>22</v>
      </c>
      <c r="C443" s="791"/>
      <c r="D443" s="791"/>
      <c r="E443" s="791"/>
      <c r="F443" s="791"/>
      <c r="G443" s="791"/>
      <c r="H443" s="792"/>
      <c r="I443" s="547">
        <v>0.5</v>
      </c>
      <c r="J443" s="16"/>
      <c r="K443" s="48">
        <f t="shared" si="39"/>
        <v>0</v>
      </c>
      <c r="L443" s="17"/>
      <c r="M443" s="45">
        <f t="shared" si="41"/>
        <v>0</v>
      </c>
      <c r="N443" s="143">
        <f t="shared" si="40"/>
        <v>0</v>
      </c>
    </row>
    <row r="444" spans="2:14" x14ac:dyDescent="0.25">
      <c r="B444" s="139">
        <v>23</v>
      </c>
      <c r="C444" s="791"/>
      <c r="D444" s="791"/>
      <c r="E444" s="791"/>
      <c r="F444" s="791"/>
      <c r="G444" s="791"/>
      <c r="H444" s="792"/>
      <c r="I444" s="547">
        <v>0.5</v>
      </c>
      <c r="J444" s="16"/>
      <c r="K444" s="48">
        <f t="shared" si="39"/>
        <v>0</v>
      </c>
      <c r="L444" s="17"/>
      <c r="M444" s="45">
        <f t="shared" si="41"/>
        <v>0</v>
      </c>
      <c r="N444" s="143">
        <f t="shared" si="40"/>
        <v>0</v>
      </c>
    </row>
    <row r="445" spans="2:14" x14ac:dyDescent="0.25">
      <c r="B445" s="139">
        <v>24</v>
      </c>
      <c r="C445" s="791"/>
      <c r="D445" s="791"/>
      <c r="E445" s="791"/>
      <c r="F445" s="791"/>
      <c r="G445" s="791"/>
      <c r="H445" s="792"/>
      <c r="I445" s="547">
        <v>0.5</v>
      </c>
      <c r="J445" s="16"/>
      <c r="K445" s="48">
        <f t="shared" si="39"/>
        <v>0</v>
      </c>
      <c r="L445" s="17"/>
      <c r="M445" s="45">
        <f t="shared" si="41"/>
        <v>0</v>
      </c>
      <c r="N445" s="143">
        <f t="shared" si="40"/>
        <v>0</v>
      </c>
    </row>
    <row r="446" spans="2:14" x14ac:dyDescent="0.25">
      <c r="B446" s="139">
        <v>25</v>
      </c>
      <c r="C446" s="791"/>
      <c r="D446" s="791"/>
      <c r="E446" s="791"/>
      <c r="F446" s="791"/>
      <c r="G446" s="791"/>
      <c r="H446" s="792"/>
      <c r="I446" s="547">
        <v>0.5</v>
      </c>
      <c r="J446" s="16"/>
      <c r="K446" s="48">
        <f t="shared" si="39"/>
        <v>0</v>
      </c>
      <c r="L446" s="17"/>
      <c r="M446" s="45">
        <f t="shared" si="41"/>
        <v>0</v>
      </c>
      <c r="N446" s="143">
        <f t="shared" si="40"/>
        <v>0</v>
      </c>
    </row>
    <row r="447" spans="2:14" x14ac:dyDescent="0.25">
      <c r="B447" s="139">
        <v>26</v>
      </c>
      <c r="C447" s="791"/>
      <c r="D447" s="791"/>
      <c r="E447" s="791"/>
      <c r="F447" s="791"/>
      <c r="G447" s="791"/>
      <c r="H447" s="792"/>
      <c r="I447" s="547">
        <v>0.5</v>
      </c>
      <c r="J447" s="16"/>
      <c r="K447" s="48">
        <f t="shared" si="39"/>
        <v>0</v>
      </c>
      <c r="L447" s="17"/>
      <c r="M447" s="45">
        <f t="shared" si="41"/>
        <v>0</v>
      </c>
      <c r="N447" s="143">
        <f t="shared" si="40"/>
        <v>0</v>
      </c>
    </row>
    <row r="448" spans="2:14" x14ac:dyDescent="0.25">
      <c r="B448" s="139">
        <v>27</v>
      </c>
      <c r="C448" s="791"/>
      <c r="D448" s="791"/>
      <c r="E448" s="791"/>
      <c r="F448" s="791"/>
      <c r="G448" s="791"/>
      <c r="H448" s="792"/>
      <c r="I448" s="547">
        <v>0.5</v>
      </c>
      <c r="J448" s="16"/>
      <c r="K448" s="48">
        <f t="shared" si="39"/>
        <v>0</v>
      </c>
      <c r="L448" s="17"/>
      <c r="M448" s="45">
        <f t="shared" si="41"/>
        <v>0</v>
      </c>
      <c r="N448" s="143">
        <f t="shared" si="40"/>
        <v>0</v>
      </c>
    </row>
    <row r="449" spans="2:14" x14ac:dyDescent="0.25">
      <c r="B449" s="139">
        <v>28</v>
      </c>
      <c r="C449" s="791"/>
      <c r="D449" s="791"/>
      <c r="E449" s="791"/>
      <c r="F449" s="791"/>
      <c r="G449" s="791"/>
      <c r="H449" s="792"/>
      <c r="I449" s="547">
        <v>0.5</v>
      </c>
      <c r="J449" s="16"/>
      <c r="K449" s="48">
        <f t="shared" si="39"/>
        <v>0</v>
      </c>
      <c r="L449" s="17"/>
      <c r="M449" s="45">
        <f t="shared" si="41"/>
        <v>0</v>
      </c>
      <c r="N449" s="143">
        <f t="shared" si="40"/>
        <v>0</v>
      </c>
    </row>
    <row r="450" spans="2:14" x14ac:dyDescent="0.25">
      <c r="B450" s="139">
        <v>29</v>
      </c>
      <c r="C450" s="791"/>
      <c r="D450" s="791"/>
      <c r="E450" s="791"/>
      <c r="F450" s="791"/>
      <c r="G450" s="791"/>
      <c r="H450" s="792"/>
      <c r="I450" s="547">
        <v>0.5</v>
      </c>
      <c r="J450" s="16"/>
      <c r="K450" s="48">
        <f t="shared" si="39"/>
        <v>0</v>
      </c>
      <c r="L450" s="17"/>
      <c r="M450" s="45">
        <f t="shared" si="41"/>
        <v>0</v>
      </c>
      <c r="N450" s="143">
        <f t="shared" si="40"/>
        <v>0</v>
      </c>
    </row>
    <row r="451" spans="2:14" x14ac:dyDescent="0.25">
      <c r="B451" s="139">
        <v>30</v>
      </c>
      <c r="C451" s="791"/>
      <c r="D451" s="791"/>
      <c r="E451" s="791"/>
      <c r="F451" s="791"/>
      <c r="G451" s="791"/>
      <c r="H451" s="792"/>
      <c r="I451" s="547">
        <v>0.5</v>
      </c>
      <c r="J451" s="16"/>
      <c r="K451" s="48">
        <f t="shared" si="39"/>
        <v>0</v>
      </c>
      <c r="L451" s="17"/>
      <c r="M451" s="45">
        <f t="shared" si="41"/>
        <v>0</v>
      </c>
      <c r="N451" s="143">
        <f t="shared" si="40"/>
        <v>0</v>
      </c>
    </row>
    <row r="452" spans="2:14" x14ac:dyDescent="0.25">
      <c r="B452" s="144"/>
      <c r="C452" s="793" t="s">
        <v>5156</v>
      </c>
      <c r="D452" s="793"/>
      <c r="E452" s="793"/>
      <c r="F452" s="793"/>
      <c r="G452" s="793"/>
      <c r="H452" s="793"/>
      <c r="I452" s="793"/>
      <c r="J452" s="793"/>
      <c r="K452" s="793"/>
      <c r="L452" s="794"/>
      <c r="M452" s="45">
        <f>SUM(M420:M451)</f>
        <v>0</v>
      </c>
      <c r="N452" s="145">
        <f>SUM(N420:N451)</f>
        <v>0</v>
      </c>
    </row>
    <row r="453" spans="2:14" x14ac:dyDescent="0.25">
      <c r="B453" s="146"/>
      <c r="C453" s="795" t="s">
        <v>5157</v>
      </c>
      <c r="D453" s="795"/>
      <c r="E453" s="795"/>
      <c r="F453" s="795"/>
      <c r="G453" s="795"/>
      <c r="H453" s="795"/>
      <c r="I453" s="795"/>
      <c r="J453" s="795"/>
      <c r="K453" s="795"/>
      <c r="L453" s="796"/>
      <c r="M453" s="45">
        <f>(M452)</f>
        <v>0</v>
      </c>
      <c r="N453" s="45">
        <f>(N452)</f>
        <v>0</v>
      </c>
    </row>
    <row r="454" spans="2:14" x14ac:dyDescent="0.25">
      <c r="B454" s="56"/>
      <c r="C454" s="823" t="s">
        <v>4027</v>
      </c>
      <c r="D454" s="823"/>
      <c r="E454" s="823"/>
      <c r="F454" s="823"/>
      <c r="G454" s="823"/>
      <c r="H454" s="823"/>
      <c r="I454" s="823"/>
      <c r="J454" s="823"/>
      <c r="K454" s="823"/>
      <c r="L454" s="824"/>
      <c r="M454" s="149">
        <f>SUM(M79,M151,M203,M255,M307,M344,M416,M453)</f>
        <v>0</v>
      </c>
      <c r="N454" s="149">
        <f>SUM(N79,N151,N203,N255,N307,N344,N416,N453)</f>
        <v>0</v>
      </c>
    </row>
    <row r="456" spans="2:14" hidden="1" x14ac:dyDescent="0.25">
      <c r="B456" s="772" t="s">
        <v>4028</v>
      </c>
      <c r="C456" s="773"/>
      <c r="D456" s="773"/>
      <c r="E456" s="773"/>
      <c r="F456" s="773"/>
      <c r="G456" s="773"/>
      <c r="H456" s="773"/>
      <c r="I456" s="773"/>
      <c r="J456" s="773"/>
      <c r="K456" s="773"/>
      <c r="L456" s="773"/>
      <c r="M456" s="773"/>
      <c r="N456" s="774"/>
    </row>
    <row r="457" spans="2:14" hidden="1" x14ac:dyDescent="0.25">
      <c r="B457" s="772" t="s">
        <v>3973</v>
      </c>
      <c r="C457" s="773"/>
      <c r="D457" s="773"/>
      <c r="E457" s="773"/>
      <c r="F457" s="773"/>
      <c r="G457" s="773"/>
      <c r="H457" s="773"/>
      <c r="I457" s="773"/>
      <c r="J457" s="773"/>
      <c r="K457" s="773"/>
      <c r="L457" s="773"/>
      <c r="M457" s="773"/>
      <c r="N457" s="774"/>
    </row>
    <row r="458" spans="2:14" hidden="1" x14ac:dyDescent="0.25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1"/>
    </row>
    <row r="459" spans="2:14" hidden="1" x14ac:dyDescent="0.25">
      <c r="B459" s="92"/>
      <c r="C459" s="94"/>
      <c r="D459" s="94" t="s">
        <v>3974</v>
      </c>
      <c r="E459" s="94"/>
      <c r="F459" s="94"/>
      <c r="G459" s="94"/>
      <c r="H459" s="150">
        <v>0.95</v>
      </c>
      <c r="I459" s="94"/>
      <c r="J459" s="94"/>
      <c r="K459" s="94"/>
      <c r="L459" s="94" t="s">
        <v>3975</v>
      </c>
      <c r="M459" s="94"/>
      <c r="N459" s="95"/>
    </row>
    <row r="460" spans="2:14" hidden="1" x14ac:dyDescent="0.25">
      <c r="B460" s="92"/>
      <c r="C460" s="94"/>
      <c r="D460" s="94" t="s">
        <v>3976</v>
      </c>
      <c r="E460" s="94"/>
      <c r="F460" s="94"/>
      <c r="G460" s="94"/>
      <c r="H460" s="150">
        <v>0.1</v>
      </c>
      <c r="I460" s="94"/>
      <c r="J460" s="94"/>
      <c r="K460" s="94"/>
      <c r="L460" s="94"/>
      <c r="M460" s="94"/>
      <c r="N460" s="95"/>
    </row>
    <row r="461" spans="2:14" hidden="1" x14ac:dyDescent="0.25"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2"/>
    </row>
    <row r="462" spans="2:14" hidden="1" x14ac:dyDescent="0.25">
      <c r="B462" s="772" t="s">
        <v>4029</v>
      </c>
      <c r="C462" s="773"/>
      <c r="D462" s="773"/>
      <c r="E462" s="773"/>
      <c r="F462" s="773"/>
      <c r="G462" s="773"/>
      <c r="H462" s="773"/>
      <c r="I462" s="773"/>
      <c r="J462" s="773"/>
      <c r="K462" s="773"/>
      <c r="L462" s="773"/>
      <c r="M462" s="773"/>
      <c r="N462" s="774"/>
    </row>
    <row r="463" spans="2:14" hidden="1" x14ac:dyDescent="0.25">
      <c r="B463" s="820" t="s">
        <v>3978</v>
      </c>
      <c r="C463" s="821"/>
      <c r="D463" s="821"/>
      <c r="E463" s="821"/>
      <c r="F463" s="821"/>
      <c r="G463" s="821"/>
      <c r="H463" s="821"/>
      <c r="I463" s="821"/>
      <c r="J463" s="821"/>
      <c r="K463" s="821"/>
      <c r="L463" s="822"/>
      <c r="M463" s="820" t="s">
        <v>3909</v>
      </c>
      <c r="N463" s="822"/>
    </row>
    <row r="464" spans="2:14" hidden="1" x14ac:dyDescent="0.25">
      <c r="B464" s="815" t="s">
        <v>3984</v>
      </c>
      <c r="C464" s="816"/>
      <c r="D464" s="816"/>
      <c r="E464" s="816"/>
      <c r="F464" s="816"/>
      <c r="G464" s="816"/>
      <c r="H464" s="817"/>
      <c r="I464" s="151" t="s">
        <v>3985</v>
      </c>
      <c r="J464" s="151" t="s">
        <v>3987</v>
      </c>
      <c r="K464" s="151" t="s">
        <v>4030</v>
      </c>
      <c r="L464" s="151" t="s">
        <v>3981</v>
      </c>
      <c r="M464" s="151" t="s">
        <v>3982</v>
      </c>
      <c r="N464" s="153" t="s">
        <v>3794</v>
      </c>
    </row>
    <row r="465" spans="2:14" hidden="1" x14ac:dyDescent="0.25">
      <c r="B465" s="154">
        <v>1</v>
      </c>
      <c r="C465" s="685"/>
      <c r="D465" s="685"/>
      <c r="E465" s="685"/>
      <c r="F465" s="685"/>
      <c r="G465" s="685"/>
      <c r="H465" s="804"/>
      <c r="I465" s="155"/>
      <c r="J465" s="140"/>
      <c r="K465" s="156">
        <f>IF(J465=0,0,(#REF!*I465)/SQRT(J465))</f>
        <v>0</v>
      </c>
      <c r="L465" s="141"/>
      <c r="M465" s="157" t="e">
        <f>N465-#REF!-#REF!</f>
        <v>#REF!</v>
      </c>
      <c r="N465" s="158">
        <f t="shared" ref="N465:N474" si="42">J465*L465</f>
        <v>0</v>
      </c>
    </row>
    <row r="466" spans="2:14" hidden="1" x14ac:dyDescent="0.25">
      <c r="B466" s="154">
        <v>2</v>
      </c>
      <c r="C466" s="685"/>
      <c r="D466" s="685"/>
      <c r="E466" s="685"/>
      <c r="F466" s="685"/>
      <c r="G466" s="685"/>
      <c r="H466" s="804"/>
      <c r="I466" s="155"/>
      <c r="J466" s="140"/>
      <c r="K466" s="156">
        <f>IF(J466=0,0,(#REF!*I466)/SQRT(J466))</f>
        <v>0</v>
      </c>
      <c r="L466" s="141"/>
      <c r="M466" s="157" t="e">
        <f>N466-#REF!-#REF!</f>
        <v>#REF!</v>
      </c>
      <c r="N466" s="158">
        <f t="shared" si="42"/>
        <v>0</v>
      </c>
    </row>
    <row r="467" spans="2:14" hidden="1" x14ac:dyDescent="0.25">
      <c r="B467" s="154">
        <v>3</v>
      </c>
      <c r="C467" s="685"/>
      <c r="D467" s="685"/>
      <c r="E467" s="685"/>
      <c r="F467" s="685"/>
      <c r="G467" s="685"/>
      <c r="H467" s="804"/>
      <c r="I467" s="155"/>
      <c r="J467" s="140"/>
      <c r="K467" s="156">
        <f>IF(J467=0,0,(#REF!*I467)/SQRT(J467))</f>
        <v>0</v>
      </c>
      <c r="L467" s="141"/>
      <c r="M467" s="157" t="e">
        <f>N467-#REF!-#REF!</f>
        <v>#REF!</v>
      </c>
      <c r="N467" s="158">
        <f t="shared" si="42"/>
        <v>0</v>
      </c>
    </row>
    <row r="468" spans="2:14" hidden="1" x14ac:dyDescent="0.25">
      <c r="B468" s="154">
        <v>4</v>
      </c>
      <c r="C468" s="685"/>
      <c r="D468" s="685"/>
      <c r="E468" s="685"/>
      <c r="F468" s="685"/>
      <c r="G468" s="685"/>
      <c r="H468" s="804"/>
      <c r="I468" s="155"/>
      <c r="J468" s="140"/>
      <c r="K468" s="156">
        <f>IF(J468=0,0,(#REF!*I468)/SQRT(J468))</f>
        <v>0</v>
      </c>
      <c r="L468" s="141"/>
      <c r="M468" s="157" t="e">
        <f>N468-#REF!-#REF!</f>
        <v>#REF!</v>
      </c>
      <c r="N468" s="158">
        <f t="shared" si="42"/>
        <v>0</v>
      </c>
    </row>
    <row r="469" spans="2:14" hidden="1" x14ac:dyDescent="0.25">
      <c r="B469" s="154">
        <v>5</v>
      </c>
      <c r="C469" s="685"/>
      <c r="D469" s="685"/>
      <c r="E469" s="685"/>
      <c r="F469" s="685"/>
      <c r="G469" s="685"/>
      <c r="H469" s="804"/>
      <c r="I469" s="155"/>
      <c r="J469" s="140"/>
      <c r="K469" s="156">
        <f>IF(J469=0,0,(#REF!*I469)/SQRT(J469))</f>
        <v>0</v>
      </c>
      <c r="L469" s="141"/>
      <c r="M469" s="157" t="e">
        <f>N469-#REF!-#REF!</f>
        <v>#REF!</v>
      </c>
      <c r="N469" s="158">
        <f t="shared" si="42"/>
        <v>0</v>
      </c>
    </row>
    <row r="470" spans="2:14" hidden="1" x14ac:dyDescent="0.25">
      <c r="B470" s="154">
        <v>6</v>
      </c>
      <c r="C470" s="685"/>
      <c r="D470" s="685"/>
      <c r="E470" s="685"/>
      <c r="F470" s="685"/>
      <c r="G470" s="685"/>
      <c r="H470" s="804"/>
      <c r="I470" s="155"/>
      <c r="J470" s="140"/>
      <c r="K470" s="156">
        <f>IF(J470=0,0,(#REF!*I470)/SQRT(J470))</f>
        <v>0</v>
      </c>
      <c r="L470" s="141"/>
      <c r="M470" s="157" t="e">
        <f>N470-#REF!-#REF!</f>
        <v>#REF!</v>
      </c>
      <c r="N470" s="158">
        <f t="shared" si="42"/>
        <v>0</v>
      </c>
    </row>
    <row r="471" spans="2:14" hidden="1" x14ac:dyDescent="0.25">
      <c r="B471" s="154">
        <v>7</v>
      </c>
      <c r="C471" s="685"/>
      <c r="D471" s="685"/>
      <c r="E471" s="685"/>
      <c r="F471" s="685"/>
      <c r="G471" s="685"/>
      <c r="H471" s="804"/>
      <c r="I471" s="155"/>
      <c r="J471" s="140"/>
      <c r="K471" s="156">
        <f>IF(J471=0,0,(#REF!*I471)/SQRT(J471))</f>
        <v>0</v>
      </c>
      <c r="L471" s="141"/>
      <c r="M471" s="157" t="e">
        <f>N471-#REF!-#REF!</f>
        <v>#REF!</v>
      </c>
      <c r="N471" s="158">
        <f t="shared" si="42"/>
        <v>0</v>
      </c>
    </row>
    <row r="472" spans="2:14" hidden="1" x14ac:dyDescent="0.25">
      <c r="B472" s="154">
        <v>8</v>
      </c>
      <c r="C472" s="685"/>
      <c r="D472" s="685"/>
      <c r="E472" s="685"/>
      <c r="F472" s="685"/>
      <c r="G472" s="685"/>
      <c r="H472" s="804"/>
      <c r="I472" s="155"/>
      <c r="J472" s="140"/>
      <c r="K472" s="156">
        <f>IF(J472=0,0,(#REF!*I472)/SQRT(J472))</f>
        <v>0</v>
      </c>
      <c r="L472" s="141"/>
      <c r="M472" s="157" t="e">
        <f>N472-#REF!-#REF!</f>
        <v>#REF!</v>
      </c>
      <c r="N472" s="158">
        <f t="shared" si="42"/>
        <v>0</v>
      </c>
    </row>
    <row r="473" spans="2:14" hidden="1" x14ac:dyDescent="0.25">
      <c r="B473" s="154">
        <v>9</v>
      </c>
      <c r="C473" s="685"/>
      <c r="D473" s="685"/>
      <c r="E473" s="685"/>
      <c r="F473" s="685"/>
      <c r="G473" s="685"/>
      <c r="H473" s="804"/>
      <c r="I473" s="155"/>
      <c r="J473" s="140"/>
      <c r="K473" s="156">
        <f>IF(J473=0,0,(#REF!*I473)/SQRT(J473))</f>
        <v>0</v>
      </c>
      <c r="L473" s="141"/>
      <c r="M473" s="157" t="e">
        <f>N473-#REF!-#REF!</f>
        <v>#REF!</v>
      </c>
      <c r="N473" s="158">
        <f t="shared" si="42"/>
        <v>0</v>
      </c>
    </row>
    <row r="474" spans="2:14" hidden="1" x14ac:dyDescent="0.25">
      <c r="B474" s="154">
        <v>10</v>
      </c>
      <c r="C474" s="685"/>
      <c r="D474" s="685"/>
      <c r="E474" s="685"/>
      <c r="F474" s="685"/>
      <c r="G474" s="685"/>
      <c r="H474" s="804"/>
      <c r="I474" s="155"/>
      <c r="J474" s="140"/>
      <c r="K474" s="156">
        <f>IF(J474=0,0,(#REF!*I474)/SQRT(J474))</f>
        <v>0</v>
      </c>
      <c r="L474" s="141"/>
      <c r="M474" s="157" t="e">
        <f>N474-#REF!-#REF!</f>
        <v>#REF!</v>
      </c>
      <c r="N474" s="158">
        <f t="shared" si="42"/>
        <v>0</v>
      </c>
    </row>
    <row r="475" spans="2:14" hidden="1" x14ac:dyDescent="0.25">
      <c r="B475" s="159"/>
      <c r="C475" s="811" t="s">
        <v>3988</v>
      </c>
      <c r="D475" s="811"/>
      <c r="E475" s="811"/>
      <c r="F475" s="811"/>
      <c r="G475" s="811"/>
      <c r="H475" s="811"/>
      <c r="I475" s="811"/>
      <c r="J475" s="811"/>
      <c r="K475" s="811"/>
      <c r="L475" s="812"/>
      <c r="M475" s="160" t="e">
        <f>SUM(M465:M474)</f>
        <v>#REF!</v>
      </c>
      <c r="N475" s="161">
        <f>SUM(N465:N474)</f>
        <v>0</v>
      </c>
    </row>
    <row r="476" spans="2:14" hidden="1" x14ac:dyDescent="0.25">
      <c r="B476" s="820" t="s">
        <v>3989</v>
      </c>
      <c r="C476" s="821"/>
      <c r="D476" s="821"/>
      <c r="E476" s="821"/>
      <c r="F476" s="821"/>
      <c r="G476" s="821"/>
      <c r="H476" s="821"/>
      <c r="I476" s="821"/>
      <c r="J476" s="821"/>
      <c r="K476" s="821"/>
      <c r="L476" s="822"/>
      <c r="M476" s="820" t="s">
        <v>3909</v>
      </c>
      <c r="N476" s="822"/>
    </row>
    <row r="477" spans="2:14" hidden="1" x14ac:dyDescent="0.25">
      <c r="B477" s="815" t="s">
        <v>3984</v>
      </c>
      <c r="C477" s="816"/>
      <c r="D477" s="816"/>
      <c r="E477" s="816"/>
      <c r="F477" s="816"/>
      <c r="G477" s="816"/>
      <c r="H477" s="817"/>
      <c r="I477" s="151" t="s">
        <v>3985</v>
      </c>
      <c r="J477" s="151" t="s">
        <v>3987</v>
      </c>
      <c r="K477" s="151" t="s">
        <v>4030</v>
      </c>
      <c r="L477" s="151" t="s">
        <v>3981</v>
      </c>
      <c r="M477" s="151" t="s">
        <v>3982</v>
      </c>
      <c r="N477" s="153" t="s">
        <v>3794</v>
      </c>
    </row>
    <row r="478" spans="2:14" hidden="1" x14ac:dyDescent="0.25">
      <c r="B478" s="154">
        <v>1</v>
      </c>
      <c r="C478" s="685"/>
      <c r="D478" s="685"/>
      <c r="E478" s="685"/>
      <c r="F478" s="685"/>
      <c r="G478" s="685"/>
      <c r="H478" s="804"/>
      <c r="I478" s="155"/>
      <c r="J478" s="140"/>
      <c r="K478" s="156">
        <f>IF(J478=0,0,(#REF!*I478)/SQRT(J478))</f>
        <v>0</v>
      </c>
      <c r="L478" s="141"/>
      <c r="M478" s="157" t="e">
        <f>N478-#REF!-#REF!</f>
        <v>#REF!</v>
      </c>
      <c r="N478" s="158">
        <f t="shared" ref="N478:N487" si="43">J478*L478</f>
        <v>0</v>
      </c>
    </row>
    <row r="479" spans="2:14" hidden="1" x14ac:dyDescent="0.25">
      <c r="B479" s="154">
        <v>2</v>
      </c>
      <c r="C479" s="685"/>
      <c r="D479" s="685"/>
      <c r="E479" s="685"/>
      <c r="F479" s="685"/>
      <c r="G479" s="685"/>
      <c r="H479" s="804"/>
      <c r="I479" s="155"/>
      <c r="J479" s="140"/>
      <c r="K479" s="156">
        <f>IF(J479=0,0,(#REF!*I479)/SQRT(J479))</f>
        <v>0</v>
      </c>
      <c r="L479" s="141"/>
      <c r="M479" s="157" t="e">
        <f>N479-#REF!-#REF!</f>
        <v>#REF!</v>
      </c>
      <c r="N479" s="158">
        <f t="shared" si="43"/>
        <v>0</v>
      </c>
    </row>
    <row r="480" spans="2:14" hidden="1" x14ac:dyDescent="0.25">
      <c r="B480" s="154">
        <v>3</v>
      </c>
      <c r="C480" s="685"/>
      <c r="D480" s="685"/>
      <c r="E480" s="685"/>
      <c r="F480" s="685"/>
      <c r="G480" s="685"/>
      <c r="H480" s="804"/>
      <c r="I480" s="155"/>
      <c r="J480" s="140"/>
      <c r="K480" s="156">
        <f>IF(J480=0,0,(#REF!*I480)/SQRT(J480))</f>
        <v>0</v>
      </c>
      <c r="L480" s="141"/>
      <c r="M480" s="157" t="e">
        <f>N480-#REF!-#REF!</f>
        <v>#REF!</v>
      </c>
      <c r="N480" s="158">
        <f t="shared" si="43"/>
        <v>0</v>
      </c>
    </row>
    <row r="481" spans="2:14" hidden="1" x14ac:dyDescent="0.25">
      <c r="B481" s="154">
        <v>4</v>
      </c>
      <c r="C481" s="685"/>
      <c r="D481" s="685"/>
      <c r="E481" s="685"/>
      <c r="F481" s="685"/>
      <c r="G481" s="685"/>
      <c r="H481" s="804"/>
      <c r="I481" s="155"/>
      <c r="J481" s="140"/>
      <c r="K481" s="156">
        <f>IF(J481=0,0,(#REF!*I481)/SQRT(J481))</f>
        <v>0</v>
      </c>
      <c r="L481" s="141"/>
      <c r="M481" s="157" t="e">
        <f>N481-#REF!-#REF!</f>
        <v>#REF!</v>
      </c>
      <c r="N481" s="158">
        <f t="shared" si="43"/>
        <v>0</v>
      </c>
    </row>
    <row r="482" spans="2:14" hidden="1" x14ac:dyDescent="0.25">
      <c r="B482" s="154">
        <v>5</v>
      </c>
      <c r="C482" s="685"/>
      <c r="D482" s="685"/>
      <c r="E482" s="685"/>
      <c r="F482" s="685"/>
      <c r="G482" s="685"/>
      <c r="H482" s="804"/>
      <c r="I482" s="155"/>
      <c r="J482" s="140"/>
      <c r="K482" s="156">
        <f>IF(J482=0,0,(#REF!*I482)/SQRT(J482))</f>
        <v>0</v>
      </c>
      <c r="L482" s="141"/>
      <c r="M482" s="157" t="e">
        <f>N482-#REF!-#REF!</f>
        <v>#REF!</v>
      </c>
      <c r="N482" s="158">
        <f t="shared" si="43"/>
        <v>0</v>
      </c>
    </row>
    <row r="483" spans="2:14" hidden="1" x14ac:dyDescent="0.25">
      <c r="B483" s="154">
        <v>6</v>
      </c>
      <c r="C483" s="685"/>
      <c r="D483" s="685"/>
      <c r="E483" s="685"/>
      <c r="F483" s="685"/>
      <c r="G483" s="685"/>
      <c r="H483" s="804"/>
      <c r="I483" s="155"/>
      <c r="J483" s="140"/>
      <c r="K483" s="156">
        <f>IF(J483=0,0,(#REF!*I483)/SQRT(J483))</f>
        <v>0</v>
      </c>
      <c r="L483" s="141"/>
      <c r="M483" s="157" t="e">
        <f>N483-#REF!-#REF!</f>
        <v>#REF!</v>
      </c>
      <c r="N483" s="158">
        <f t="shared" si="43"/>
        <v>0</v>
      </c>
    </row>
    <row r="484" spans="2:14" hidden="1" x14ac:dyDescent="0.25">
      <c r="B484" s="154">
        <v>7</v>
      </c>
      <c r="C484" s="685"/>
      <c r="D484" s="685"/>
      <c r="E484" s="685"/>
      <c r="F484" s="685"/>
      <c r="G484" s="685"/>
      <c r="H484" s="804"/>
      <c r="I484" s="155"/>
      <c r="J484" s="140"/>
      <c r="K484" s="156">
        <f>IF(J484=0,0,(#REF!*I484)/SQRT(J484))</f>
        <v>0</v>
      </c>
      <c r="L484" s="141"/>
      <c r="M484" s="157" t="e">
        <f>N484-#REF!-#REF!</f>
        <v>#REF!</v>
      </c>
      <c r="N484" s="158">
        <f t="shared" si="43"/>
        <v>0</v>
      </c>
    </row>
    <row r="485" spans="2:14" hidden="1" x14ac:dyDescent="0.25">
      <c r="B485" s="154">
        <v>8</v>
      </c>
      <c r="C485" s="685"/>
      <c r="D485" s="685"/>
      <c r="E485" s="685"/>
      <c r="F485" s="685"/>
      <c r="G485" s="685"/>
      <c r="H485" s="804"/>
      <c r="I485" s="155"/>
      <c r="J485" s="140"/>
      <c r="K485" s="156">
        <f>IF(J485=0,0,(#REF!*I485)/SQRT(J485))</f>
        <v>0</v>
      </c>
      <c r="L485" s="141"/>
      <c r="M485" s="157" t="e">
        <f>N485-#REF!-#REF!</f>
        <v>#REF!</v>
      </c>
      <c r="N485" s="158">
        <f t="shared" si="43"/>
        <v>0</v>
      </c>
    </row>
    <row r="486" spans="2:14" hidden="1" x14ac:dyDescent="0.25">
      <c r="B486" s="154">
        <v>9</v>
      </c>
      <c r="C486" s="685"/>
      <c r="D486" s="685"/>
      <c r="E486" s="685"/>
      <c r="F486" s="685"/>
      <c r="G486" s="685"/>
      <c r="H486" s="804"/>
      <c r="I486" s="155"/>
      <c r="J486" s="140"/>
      <c r="K486" s="156">
        <f>IF(J486=0,0,(#REF!*I486)/SQRT(J486))</f>
        <v>0</v>
      </c>
      <c r="L486" s="141"/>
      <c r="M486" s="157" t="e">
        <f>N486-#REF!-#REF!</f>
        <v>#REF!</v>
      </c>
      <c r="N486" s="158">
        <f t="shared" si="43"/>
        <v>0</v>
      </c>
    </row>
    <row r="487" spans="2:14" hidden="1" x14ac:dyDescent="0.25">
      <c r="B487" s="154">
        <v>10</v>
      </c>
      <c r="C487" s="685"/>
      <c r="D487" s="685"/>
      <c r="E487" s="685"/>
      <c r="F487" s="685"/>
      <c r="G487" s="685"/>
      <c r="H487" s="804"/>
      <c r="I487" s="155"/>
      <c r="J487" s="140"/>
      <c r="K487" s="156">
        <f>IF(J487=0,0,(#REF!*I487)/SQRT(J487))</f>
        <v>0</v>
      </c>
      <c r="L487" s="141"/>
      <c r="M487" s="157" t="e">
        <f>N487-#REF!-#REF!</f>
        <v>#REF!</v>
      </c>
      <c r="N487" s="158">
        <f t="shared" si="43"/>
        <v>0</v>
      </c>
    </row>
    <row r="488" spans="2:14" hidden="1" x14ac:dyDescent="0.25">
      <c r="B488" s="159"/>
      <c r="C488" s="811" t="s">
        <v>3991</v>
      </c>
      <c r="D488" s="811"/>
      <c r="E488" s="811"/>
      <c r="F488" s="811"/>
      <c r="G488" s="811"/>
      <c r="H488" s="811"/>
      <c r="I488" s="811"/>
      <c r="J488" s="811"/>
      <c r="K488" s="811"/>
      <c r="L488" s="812"/>
      <c r="M488" s="160" t="e">
        <f>SUM(M478:M487)</f>
        <v>#REF!</v>
      </c>
      <c r="N488" s="161">
        <f>SUM(N478:N487)</f>
        <v>0</v>
      </c>
    </row>
    <row r="489" spans="2:14" hidden="1" x14ac:dyDescent="0.25">
      <c r="B489" s="162"/>
      <c r="C489" s="813" t="s">
        <v>3992</v>
      </c>
      <c r="D489" s="813"/>
      <c r="E489" s="813"/>
      <c r="F489" s="813"/>
      <c r="G489" s="813"/>
      <c r="H489" s="813"/>
      <c r="I489" s="813"/>
      <c r="J489" s="813"/>
      <c r="K489" s="813"/>
      <c r="L489" s="814"/>
      <c r="M489" s="163" t="e">
        <f>SUM(M475,M488)</f>
        <v>#REF!</v>
      </c>
      <c r="N489" s="164">
        <f>SUM(N475,N488)</f>
        <v>0</v>
      </c>
    </row>
    <row r="490" spans="2:14" hidden="1" x14ac:dyDescent="0.25">
      <c r="B490" s="772" t="s">
        <v>4031</v>
      </c>
      <c r="C490" s="773"/>
      <c r="D490" s="773"/>
      <c r="E490" s="773"/>
      <c r="F490" s="773"/>
      <c r="G490" s="773"/>
      <c r="H490" s="773"/>
      <c r="I490" s="773"/>
      <c r="J490" s="773"/>
      <c r="K490" s="773"/>
      <c r="L490" s="773"/>
      <c r="M490" s="773"/>
      <c r="N490" s="774"/>
    </row>
    <row r="491" spans="2:14" hidden="1" x14ac:dyDescent="0.25">
      <c r="B491" s="820" t="s">
        <v>3978</v>
      </c>
      <c r="C491" s="821"/>
      <c r="D491" s="821"/>
      <c r="E491" s="821"/>
      <c r="F491" s="821"/>
      <c r="G491" s="821"/>
      <c r="H491" s="821"/>
      <c r="I491" s="821"/>
      <c r="J491" s="821"/>
      <c r="K491" s="821"/>
      <c r="L491" s="822"/>
      <c r="M491" s="820" t="s">
        <v>3909</v>
      </c>
      <c r="N491" s="822"/>
    </row>
    <row r="492" spans="2:14" hidden="1" x14ac:dyDescent="0.25">
      <c r="B492" s="815" t="s">
        <v>3984</v>
      </c>
      <c r="C492" s="816"/>
      <c r="D492" s="816"/>
      <c r="E492" s="816"/>
      <c r="F492" s="816"/>
      <c r="G492" s="816"/>
      <c r="H492" s="817"/>
      <c r="I492" s="151" t="s">
        <v>3985</v>
      </c>
      <c r="J492" s="151" t="s">
        <v>3987</v>
      </c>
      <c r="K492" s="151" t="s">
        <v>4030</v>
      </c>
      <c r="L492" s="151" t="s">
        <v>3981</v>
      </c>
      <c r="M492" s="151" t="s">
        <v>3982</v>
      </c>
      <c r="N492" s="153" t="s">
        <v>3794</v>
      </c>
    </row>
    <row r="493" spans="2:14" hidden="1" x14ac:dyDescent="0.25">
      <c r="B493" s="154">
        <v>1</v>
      </c>
      <c r="C493" s="685"/>
      <c r="D493" s="685"/>
      <c r="E493" s="685"/>
      <c r="F493" s="685"/>
      <c r="G493" s="685"/>
      <c r="H493" s="804"/>
      <c r="I493" s="155"/>
      <c r="J493" s="140"/>
      <c r="K493" s="156">
        <f>IF(J493=0,0,(#REF!*I493)/SQRT(J493))</f>
        <v>0</v>
      </c>
      <c r="L493" s="141"/>
      <c r="M493" s="157" t="e">
        <f>N493-#REF!-#REF!</f>
        <v>#REF!</v>
      </c>
      <c r="N493" s="158">
        <f t="shared" ref="N493:N502" si="44">J493*L493</f>
        <v>0</v>
      </c>
    </row>
    <row r="494" spans="2:14" hidden="1" x14ac:dyDescent="0.25">
      <c r="B494" s="154">
        <v>2</v>
      </c>
      <c r="C494" s="685"/>
      <c r="D494" s="685"/>
      <c r="E494" s="685"/>
      <c r="F494" s="685"/>
      <c r="G494" s="685"/>
      <c r="H494" s="804"/>
      <c r="I494" s="155"/>
      <c r="J494" s="140"/>
      <c r="K494" s="156">
        <f>IF(J494=0,0,(#REF!*I494)/SQRT(J494))</f>
        <v>0</v>
      </c>
      <c r="L494" s="141"/>
      <c r="M494" s="157" t="e">
        <f>N494-#REF!-#REF!</f>
        <v>#REF!</v>
      </c>
      <c r="N494" s="158">
        <f t="shared" si="44"/>
        <v>0</v>
      </c>
    </row>
    <row r="495" spans="2:14" hidden="1" x14ac:dyDescent="0.25">
      <c r="B495" s="154">
        <v>3</v>
      </c>
      <c r="C495" s="685"/>
      <c r="D495" s="685"/>
      <c r="E495" s="685"/>
      <c r="F495" s="685"/>
      <c r="G495" s="685"/>
      <c r="H495" s="804"/>
      <c r="I495" s="155"/>
      <c r="J495" s="140"/>
      <c r="K495" s="156">
        <f>IF(J495=0,0,(#REF!*I495)/SQRT(J495))</f>
        <v>0</v>
      </c>
      <c r="L495" s="141"/>
      <c r="M495" s="157" t="e">
        <f>N495-#REF!-#REF!</f>
        <v>#REF!</v>
      </c>
      <c r="N495" s="158">
        <f t="shared" si="44"/>
        <v>0</v>
      </c>
    </row>
    <row r="496" spans="2:14" hidden="1" x14ac:dyDescent="0.25">
      <c r="B496" s="154">
        <v>4</v>
      </c>
      <c r="C496" s="685"/>
      <c r="D496" s="685"/>
      <c r="E496" s="685"/>
      <c r="F496" s="685"/>
      <c r="G496" s="685"/>
      <c r="H496" s="804"/>
      <c r="I496" s="155"/>
      <c r="J496" s="140"/>
      <c r="K496" s="156">
        <f>IF(J496=0,0,(#REF!*I496)/SQRT(J496))</f>
        <v>0</v>
      </c>
      <c r="L496" s="141"/>
      <c r="M496" s="157" t="e">
        <f>N496-#REF!-#REF!</f>
        <v>#REF!</v>
      </c>
      <c r="N496" s="158">
        <f t="shared" si="44"/>
        <v>0</v>
      </c>
    </row>
    <row r="497" spans="2:14" hidden="1" x14ac:dyDescent="0.25">
      <c r="B497" s="154">
        <v>5</v>
      </c>
      <c r="C497" s="685"/>
      <c r="D497" s="685"/>
      <c r="E497" s="685"/>
      <c r="F497" s="685"/>
      <c r="G497" s="685"/>
      <c r="H497" s="804"/>
      <c r="I497" s="155"/>
      <c r="J497" s="140"/>
      <c r="K497" s="156">
        <f>IF(J497=0,0,(#REF!*I497)/SQRT(J497))</f>
        <v>0</v>
      </c>
      <c r="L497" s="141"/>
      <c r="M497" s="157" t="e">
        <f>N497-#REF!-#REF!</f>
        <v>#REF!</v>
      </c>
      <c r="N497" s="158">
        <f t="shared" si="44"/>
        <v>0</v>
      </c>
    </row>
    <row r="498" spans="2:14" hidden="1" x14ac:dyDescent="0.25">
      <c r="B498" s="154">
        <v>6</v>
      </c>
      <c r="C498" s="685"/>
      <c r="D498" s="685"/>
      <c r="E498" s="685"/>
      <c r="F498" s="685"/>
      <c r="G498" s="685"/>
      <c r="H498" s="804"/>
      <c r="I498" s="155"/>
      <c r="J498" s="140"/>
      <c r="K498" s="156">
        <f>IF(J498=0,0,(#REF!*I498)/SQRT(J498))</f>
        <v>0</v>
      </c>
      <c r="L498" s="141"/>
      <c r="M498" s="157" t="e">
        <f>N498-#REF!-#REF!</f>
        <v>#REF!</v>
      </c>
      <c r="N498" s="158">
        <f t="shared" si="44"/>
        <v>0</v>
      </c>
    </row>
    <row r="499" spans="2:14" hidden="1" x14ac:dyDescent="0.25">
      <c r="B499" s="154">
        <v>7</v>
      </c>
      <c r="C499" s="685"/>
      <c r="D499" s="685"/>
      <c r="E499" s="685"/>
      <c r="F499" s="685"/>
      <c r="G499" s="685"/>
      <c r="H499" s="804"/>
      <c r="I499" s="155"/>
      <c r="J499" s="140"/>
      <c r="K499" s="156">
        <f>IF(J499=0,0,(#REF!*I499)/SQRT(J499))</f>
        <v>0</v>
      </c>
      <c r="L499" s="141"/>
      <c r="M499" s="157" t="e">
        <f>N499-#REF!-#REF!</f>
        <v>#REF!</v>
      </c>
      <c r="N499" s="158">
        <f t="shared" si="44"/>
        <v>0</v>
      </c>
    </row>
    <row r="500" spans="2:14" hidden="1" x14ac:dyDescent="0.25">
      <c r="B500" s="154">
        <v>8</v>
      </c>
      <c r="C500" s="685"/>
      <c r="D500" s="685"/>
      <c r="E500" s="685"/>
      <c r="F500" s="685"/>
      <c r="G500" s="685"/>
      <c r="H500" s="804"/>
      <c r="I500" s="155"/>
      <c r="J500" s="140"/>
      <c r="K500" s="156">
        <f>IF(J500=0,0,(#REF!*I500)/SQRT(J500))</f>
        <v>0</v>
      </c>
      <c r="L500" s="141"/>
      <c r="M500" s="157" t="e">
        <f>N500-#REF!-#REF!</f>
        <v>#REF!</v>
      </c>
      <c r="N500" s="158">
        <f t="shared" si="44"/>
        <v>0</v>
      </c>
    </row>
    <row r="501" spans="2:14" hidden="1" x14ac:dyDescent="0.25">
      <c r="B501" s="154">
        <v>9</v>
      </c>
      <c r="C501" s="685"/>
      <c r="D501" s="685"/>
      <c r="E501" s="685"/>
      <c r="F501" s="685"/>
      <c r="G501" s="685"/>
      <c r="H501" s="804"/>
      <c r="I501" s="155"/>
      <c r="J501" s="140"/>
      <c r="K501" s="156">
        <f>IF(J501=0,0,(#REF!*I501)/SQRT(J501))</f>
        <v>0</v>
      </c>
      <c r="L501" s="141"/>
      <c r="M501" s="157" t="e">
        <f>N501-#REF!-#REF!</f>
        <v>#REF!</v>
      </c>
      <c r="N501" s="158">
        <f t="shared" si="44"/>
        <v>0</v>
      </c>
    </row>
    <row r="502" spans="2:14" hidden="1" x14ac:dyDescent="0.25">
      <c r="B502" s="154">
        <v>10</v>
      </c>
      <c r="C502" s="685"/>
      <c r="D502" s="685"/>
      <c r="E502" s="685"/>
      <c r="F502" s="685"/>
      <c r="G502" s="685"/>
      <c r="H502" s="804"/>
      <c r="I502" s="155"/>
      <c r="J502" s="140"/>
      <c r="K502" s="156">
        <f>IF(J502=0,0,(#REF!*I502)/SQRT(J502))</f>
        <v>0</v>
      </c>
      <c r="L502" s="141"/>
      <c r="M502" s="157" t="e">
        <f>N502-#REF!-#REF!</f>
        <v>#REF!</v>
      </c>
      <c r="N502" s="158">
        <f t="shared" si="44"/>
        <v>0</v>
      </c>
    </row>
    <row r="503" spans="2:14" hidden="1" x14ac:dyDescent="0.25">
      <c r="B503" s="159"/>
      <c r="C503" s="811" t="s">
        <v>3995</v>
      </c>
      <c r="D503" s="811"/>
      <c r="E503" s="811"/>
      <c r="F503" s="811"/>
      <c r="G503" s="811"/>
      <c r="H503" s="811"/>
      <c r="I503" s="811"/>
      <c r="J503" s="811"/>
      <c r="K503" s="811"/>
      <c r="L503" s="812"/>
      <c r="M503" s="160" t="e">
        <f>SUM(M493:M502)</f>
        <v>#REF!</v>
      </c>
      <c r="N503" s="161">
        <f>SUM(N493:N502)</f>
        <v>0</v>
      </c>
    </row>
    <row r="504" spans="2:14" hidden="1" x14ac:dyDescent="0.25">
      <c r="B504" s="820" t="s">
        <v>3989</v>
      </c>
      <c r="C504" s="821"/>
      <c r="D504" s="821"/>
      <c r="E504" s="821"/>
      <c r="F504" s="821"/>
      <c r="G504" s="821"/>
      <c r="H504" s="821"/>
      <c r="I504" s="821"/>
      <c r="J504" s="821"/>
      <c r="K504" s="821"/>
      <c r="L504" s="822"/>
      <c r="M504" s="820" t="s">
        <v>3909</v>
      </c>
      <c r="N504" s="822"/>
    </row>
    <row r="505" spans="2:14" hidden="1" x14ac:dyDescent="0.25">
      <c r="B505" s="815" t="s">
        <v>3984</v>
      </c>
      <c r="C505" s="816"/>
      <c r="D505" s="816"/>
      <c r="E505" s="816"/>
      <c r="F505" s="816"/>
      <c r="G505" s="816"/>
      <c r="H505" s="817"/>
      <c r="I505" s="151" t="s">
        <v>3985</v>
      </c>
      <c r="J505" s="151" t="s">
        <v>3987</v>
      </c>
      <c r="K505" s="151" t="s">
        <v>4030</v>
      </c>
      <c r="L505" s="151" t="s">
        <v>3981</v>
      </c>
      <c r="M505" s="151" t="s">
        <v>3982</v>
      </c>
      <c r="N505" s="153" t="s">
        <v>3794</v>
      </c>
    </row>
    <row r="506" spans="2:14" hidden="1" x14ac:dyDescent="0.25">
      <c r="B506" s="154">
        <v>1</v>
      </c>
      <c r="C506" s="685"/>
      <c r="D506" s="685"/>
      <c r="E506" s="685"/>
      <c r="F506" s="685"/>
      <c r="G506" s="685"/>
      <c r="H506" s="804"/>
      <c r="I506" s="155"/>
      <c r="J506" s="140"/>
      <c r="K506" s="156">
        <f>IF(J506=0,0,(#REF!*I506)/SQRT(J506))</f>
        <v>0</v>
      </c>
      <c r="L506" s="141"/>
      <c r="M506" s="157" t="e">
        <f>N506-#REF!-#REF!</f>
        <v>#REF!</v>
      </c>
      <c r="N506" s="158">
        <f t="shared" ref="N506:N515" si="45">J506*L506</f>
        <v>0</v>
      </c>
    </row>
    <row r="507" spans="2:14" hidden="1" x14ac:dyDescent="0.25">
      <c r="B507" s="154">
        <v>2</v>
      </c>
      <c r="C507" s="685"/>
      <c r="D507" s="685"/>
      <c r="E507" s="685"/>
      <c r="F507" s="685"/>
      <c r="G507" s="685"/>
      <c r="H507" s="804"/>
      <c r="I507" s="155"/>
      <c r="J507" s="140"/>
      <c r="K507" s="156">
        <f>IF(J507=0,0,(#REF!*I507)/SQRT(J507))</f>
        <v>0</v>
      </c>
      <c r="L507" s="141"/>
      <c r="M507" s="157" t="e">
        <f>N507-#REF!-#REF!</f>
        <v>#REF!</v>
      </c>
      <c r="N507" s="158">
        <f t="shared" si="45"/>
        <v>0</v>
      </c>
    </row>
    <row r="508" spans="2:14" hidden="1" x14ac:dyDescent="0.25">
      <c r="B508" s="154">
        <v>3</v>
      </c>
      <c r="C508" s="685"/>
      <c r="D508" s="685"/>
      <c r="E508" s="685"/>
      <c r="F508" s="685"/>
      <c r="G508" s="685"/>
      <c r="H508" s="804"/>
      <c r="I508" s="155"/>
      <c r="J508" s="140"/>
      <c r="K508" s="156">
        <f>IF(J508=0,0,(#REF!*I508)/SQRT(J508))</f>
        <v>0</v>
      </c>
      <c r="L508" s="141"/>
      <c r="M508" s="157" t="e">
        <f>N508-#REF!-#REF!</f>
        <v>#REF!</v>
      </c>
      <c r="N508" s="158">
        <f t="shared" si="45"/>
        <v>0</v>
      </c>
    </row>
    <row r="509" spans="2:14" hidden="1" x14ac:dyDescent="0.25">
      <c r="B509" s="154">
        <v>4</v>
      </c>
      <c r="C509" s="685"/>
      <c r="D509" s="685"/>
      <c r="E509" s="685"/>
      <c r="F509" s="685"/>
      <c r="G509" s="685"/>
      <c r="H509" s="804"/>
      <c r="I509" s="155"/>
      <c r="J509" s="140"/>
      <c r="K509" s="156">
        <f>IF(J509=0,0,(#REF!*I509)/SQRT(J509))</f>
        <v>0</v>
      </c>
      <c r="L509" s="141"/>
      <c r="M509" s="157" t="e">
        <f>N509-#REF!-#REF!</f>
        <v>#REF!</v>
      </c>
      <c r="N509" s="158">
        <f t="shared" si="45"/>
        <v>0</v>
      </c>
    </row>
    <row r="510" spans="2:14" hidden="1" x14ac:dyDescent="0.25">
      <c r="B510" s="154">
        <v>5</v>
      </c>
      <c r="C510" s="685"/>
      <c r="D510" s="685"/>
      <c r="E510" s="685"/>
      <c r="F510" s="685"/>
      <c r="G510" s="685"/>
      <c r="H510" s="804"/>
      <c r="I510" s="155"/>
      <c r="J510" s="140"/>
      <c r="K510" s="156">
        <f>IF(J510=0,0,(#REF!*I510)/SQRT(J510))</f>
        <v>0</v>
      </c>
      <c r="L510" s="141"/>
      <c r="M510" s="157" t="e">
        <f>N510-#REF!-#REF!</f>
        <v>#REF!</v>
      </c>
      <c r="N510" s="158">
        <f t="shared" si="45"/>
        <v>0</v>
      </c>
    </row>
    <row r="511" spans="2:14" hidden="1" x14ac:dyDescent="0.25">
      <c r="B511" s="154">
        <v>6</v>
      </c>
      <c r="C511" s="685"/>
      <c r="D511" s="685"/>
      <c r="E511" s="685"/>
      <c r="F511" s="685"/>
      <c r="G511" s="685"/>
      <c r="H511" s="804"/>
      <c r="I511" s="155"/>
      <c r="J511" s="140"/>
      <c r="K511" s="156">
        <f>IF(J511=0,0,(#REF!*I511)/SQRT(J511))</f>
        <v>0</v>
      </c>
      <c r="L511" s="141"/>
      <c r="M511" s="157" t="e">
        <f>N511-#REF!-#REF!</f>
        <v>#REF!</v>
      </c>
      <c r="N511" s="158">
        <f t="shared" si="45"/>
        <v>0</v>
      </c>
    </row>
    <row r="512" spans="2:14" hidden="1" x14ac:dyDescent="0.25">
      <c r="B512" s="154">
        <v>7</v>
      </c>
      <c r="C512" s="685"/>
      <c r="D512" s="685"/>
      <c r="E512" s="685"/>
      <c r="F512" s="685"/>
      <c r="G512" s="685"/>
      <c r="H512" s="804"/>
      <c r="I512" s="155"/>
      <c r="J512" s="140"/>
      <c r="K512" s="156">
        <f>IF(J512=0,0,(#REF!*I512)/SQRT(J512))</f>
        <v>0</v>
      </c>
      <c r="L512" s="141"/>
      <c r="M512" s="157" t="e">
        <f>N512-#REF!-#REF!</f>
        <v>#REF!</v>
      </c>
      <c r="N512" s="158">
        <f t="shared" si="45"/>
        <v>0</v>
      </c>
    </row>
    <row r="513" spans="2:14" hidden="1" x14ac:dyDescent="0.25">
      <c r="B513" s="154">
        <v>8</v>
      </c>
      <c r="C513" s="685"/>
      <c r="D513" s="685"/>
      <c r="E513" s="685"/>
      <c r="F513" s="685"/>
      <c r="G513" s="685"/>
      <c r="H513" s="804"/>
      <c r="I513" s="155"/>
      <c r="J513" s="140"/>
      <c r="K513" s="156">
        <f>IF(J513=0,0,(#REF!*I513)/SQRT(J513))</f>
        <v>0</v>
      </c>
      <c r="L513" s="141"/>
      <c r="M513" s="157" t="e">
        <f>N513-#REF!-#REF!</f>
        <v>#REF!</v>
      </c>
      <c r="N513" s="158">
        <f t="shared" si="45"/>
        <v>0</v>
      </c>
    </row>
    <row r="514" spans="2:14" hidden="1" x14ac:dyDescent="0.25">
      <c r="B514" s="154">
        <v>9</v>
      </c>
      <c r="C514" s="685"/>
      <c r="D514" s="685"/>
      <c r="E514" s="685"/>
      <c r="F514" s="685"/>
      <c r="G514" s="685"/>
      <c r="H514" s="804"/>
      <c r="I514" s="155"/>
      <c r="J514" s="140"/>
      <c r="K514" s="156">
        <f>IF(J514=0,0,(#REF!*I514)/SQRT(J514))</f>
        <v>0</v>
      </c>
      <c r="L514" s="141"/>
      <c r="M514" s="157" t="e">
        <f>N514-#REF!-#REF!</f>
        <v>#REF!</v>
      </c>
      <c r="N514" s="158">
        <f t="shared" si="45"/>
        <v>0</v>
      </c>
    </row>
    <row r="515" spans="2:14" hidden="1" x14ac:dyDescent="0.25">
      <c r="B515" s="154">
        <v>10</v>
      </c>
      <c r="C515" s="685"/>
      <c r="D515" s="685"/>
      <c r="E515" s="685"/>
      <c r="F515" s="685"/>
      <c r="G515" s="685"/>
      <c r="H515" s="804"/>
      <c r="I515" s="155"/>
      <c r="J515" s="140"/>
      <c r="K515" s="156">
        <f>IF(J515=0,0,(#REF!*I515)/SQRT(J515))</f>
        <v>0</v>
      </c>
      <c r="L515" s="141"/>
      <c r="M515" s="157" t="e">
        <f>N515-#REF!-#REF!</f>
        <v>#REF!</v>
      </c>
      <c r="N515" s="158">
        <f t="shared" si="45"/>
        <v>0</v>
      </c>
    </row>
    <row r="516" spans="2:14" hidden="1" x14ac:dyDescent="0.25">
      <c r="B516" s="159"/>
      <c r="C516" s="811" t="s">
        <v>3997</v>
      </c>
      <c r="D516" s="811"/>
      <c r="E516" s="811"/>
      <c r="F516" s="811"/>
      <c r="G516" s="811"/>
      <c r="H516" s="811"/>
      <c r="I516" s="811"/>
      <c r="J516" s="811"/>
      <c r="K516" s="811"/>
      <c r="L516" s="812"/>
      <c r="M516" s="160" t="e">
        <f>SUM(M506:M515)</f>
        <v>#REF!</v>
      </c>
      <c r="N516" s="161">
        <f>SUM(N506:N515)</f>
        <v>0</v>
      </c>
    </row>
    <row r="517" spans="2:14" hidden="1" x14ac:dyDescent="0.25">
      <c r="B517" s="162"/>
      <c r="C517" s="813" t="s">
        <v>3998</v>
      </c>
      <c r="D517" s="813"/>
      <c r="E517" s="813"/>
      <c r="F517" s="813"/>
      <c r="G517" s="813"/>
      <c r="H517" s="813"/>
      <c r="I517" s="813"/>
      <c r="J517" s="813"/>
      <c r="K517" s="813"/>
      <c r="L517" s="814"/>
      <c r="M517" s="163" t="e">
        <f>SUM(M503,M516)</f>
        <v>#REF!</v>
      </c>
      <c r="N517" s="164">
        <f>SUM(N503,N516)</f>
        <v>0</v>
      </c>
    </row>
    <row r="518" spans="2:14" hidden="1" x14ac:dyDescent="0.25">
      <c r="B518" s="772" t="s">
        <v>4032</v>
      </c>
      <c r="C518" s="773"/>
      <c r="D518" s="773"/>
      <c r="E518" s="773"/>
      <c r="F518" s="773"/>
      <c r="G518" s="773"/>
      <c r="H518" s="773"/>
      <c r="I518" s="773"/>
      <c r="J518" s="773"/>
      <c r="K518" s="773"/>
      <c r="L518" s="773"/>
      <c r="M518" s="773"/>
      <c r="N518" s="774"/>
    </row>
    <row r="519" spans="2:14" hidden="1" x14ac:dyDescent="0.25">
      <c r="B519" s="820" t="s">
        <v>3978</v>
      </c>
      <c r="C519" s="821"/>
      <c r="D519" s="821"/>
      <c r="E519" s="821"/>
      <c r="F519" s="821"/>
      <c r="G519" s="821"/>
      <c r="H519" s="821"/>
      <c r="I519" s="821"/>
      <c r="J519" s="821"/>
      <c r="K519" s="821"/>
      <c r="L519" s="822"/>
      <c r="M519" s="820" t="s">
        <v>3909</v>
      </c>
      <c r="N519" s="822"/>
    </row>
    <row r="520" spans="2:14" hidden="1" x14ac:dyDescent="0.25">
      <c r="B520" s="815" t="s">
        <v>3984</v>
      </c>
      <c r="C520" s="816"/>
      <c r="D520" s="816"/>
      <c r="E520" s="816"/>
      <c r="F520" s="816"/>
      <c r="G520" s="816"/>
      <c r="H520" s="817"/>
      <c r="I520" s="151" t="s">
        <v>3985</v>
      </c>
      <c r="J520" s="151" t="s">
        <v>3987</v>
      </c>
      <c r="K520" s="151" t="s">
        <v>4030</v>
      </c>
      <c r="L520" s="151" t="s">
        <v>3981</v>
      </c>
      <c r="M520" s="151" t="s">
        <v>3982</v>
      </c>
      <c r="N520" s="153" t="s">
        <v>3794</v>
      </c>
    </row>
    <row r="521" spans="2:14" hidden="1" x14ac:dyDescent="0.25">
      <c r="B521" s="154">
        <v>1</v>
      </c>
      <c r="C521" s="685"/>
      <c r="D521" s="685"/>
      <c r="E521" s="685"/>
      <c r="F521" s="685"/>
      <c r="G521" s="685"/>
      <c r="H521" s="804"/>
      <c r="I521" s="155"/>
      <c r="J521" s="140"/>
      <c r="K521" s="156">
        <f>IF(J521=0,0,(#REF!*I521)/SQRT(J521))</f>
        <v>0</v>
      </c>
      <c r="L521" s="141"/>
      <c r="M521" s="157" t="e">
        <f>N521-#REF!-#REF!</f>
        <v>#REF!</v>
      </c>
      <c r="N521" s="158">
        <f t="shared" ref="N521:N530" si="46">J521*L521</f>
        <v>0</v>
      </c>
    </row>
    <row r="522" spans="2:14" hidden="1" x14ac:dyDescent="0.25">
      <c r="B522" s="154">
        <v>2</v>
      </c>
      <c r="C522" s="685"/>
      <c r="D522" s="685"/>
      <c r="E522" s="685"/>
      <c r="F522" s="685"/>
      <c r="G522" s="685"/>
      <c r="H522" s="804"/>
      <c r="I522" s="155"/>
      <c r="J522" s="140"/>
      <c r="K522" s="156">
        <f>IF(J522=0,0,(#REF!*I522)/SQRT(J522))</f>
        <v>0</v>
      </c>
      <c r="L522" s="141"/>
      <c r="M522" s="157" t="e">
        <f>N522-#REF!-#REF!</f>
        <v>#REF!</v>
      </c>
      <c r="N522" s="158">
        <f t="shared" si="46"/>
        <v>0</v>
      </c>
    </row>
    <row r="523" spans="2:14" hidden="1" x14ac:dyDescent="0.25">
      <c r="B523" s="154">
        <v>3</v>
      </c>
      <c r="C523" s="685"/>
      <c r="D523" s="685"/>
      <c r="E523" s="685"/>
      <c r="F523" s="685"/>
      <c r="G523" s="685"/>
      <c r="H523" s="804"/>
      <c r="I523" s="155"/>
      <c r="J523" s="140"/>
      <c r="K523" s="156">
        <f>IF(J523=0,0,(#REF!*I523)/SQRT(J523))</f>
        <v>0</v>
      </c>
      <c r="L523" s="141"/>
      <c r="M523" s="157" t="e">
        <f>N523-#REF!-#REF!</f>
        <v>#REF!</v>
      </c>
      <c r="N523" s="158">
        <f t="shared" si="46"/>
        <v>0</v>
      </c>
    </row>
    <row r="524" spans="2:14" hidden="1" x14ac:dyDescent="0.25">
      <c r="B524" s="154">
        <v>4</v>
      </c>
      <c r="C524" s="685"/>
      <c r="D524" s="685"/>
      <c r="E524" s="685"/>
      <c r="F524" s="685"/>
      <c r="G524" s="685"/>
      <c r="H524" s="804"/>
      <c r="I524" s="155"/>
      <c r="J524" s="140"/>
      <c r="K524" s="156">
        <f>IF(J524=0,0,(#REF!*I524)/SQRT(J524))</f>
        <v>0</v>
      </c>
      <c r="L524" s="141"/>
      <c r="M524" s="157" t="e">
        <f>N524-#REF!-#REF!</f>
        <v>#REF!</v>
      </c>
      <c r="N524" s="158">
        <f t="shared" si="46"/>
        <v>0</v>
      </c>
    </row>
    <row r="525" spans="2:14" hidden="1" x14ac:dyDescent="0.25">
      <c r="B525" s="154">
        <v>5</v>
      </c>
      <c r="C525" s="685"/>
      <c r="D525" s="685"/>
      <c r="E525" s="685"/>
      <c r="F525" s="685"/>
      <c r="G525" s="685"/>
      <c r="H525" s="804"/>
      <c r="I525" s="155"/>
      <c r="J525" s="140"/>
      <c r="K525" s="156">
        <f>IF(J525=0,0,(#REF!*I525)/SQRT(J525))</f>
        <v>0</v>
      </c>
      <c r="L525" s="141"/>
      <c r="M525" s="157" t="e">
        <f>N525-#REF!-#REF!</f>
        <v>#REF!</v>
      </c>
      <c r="N525" s="158">
        <f t="shared" si="46"/>
        <v>0</v>
      </c>
    </row>
    <row r="526" spans="2:14" hidden="1" x14ac:dyDescent="0.25">
      <c r="B526" s="154">
        <v>6</v>
      </c>
      <c r="C526" s="685"/>
      <c r="D526" s="685"/>
      <c r="E526" s="685"/>
      <c r="F526" s="685"/>
      <c r="G526" s="685"/>
      <c r="H526" s="804"/>
      <c r="I526" s="155"/>
      <c r="J526" s="140"/>
      <c r="K526" s="156">
        <f>IF(J526=0,0,(#REF!*I526)/SQRT(J526))</f>
        <v>0</v>
      </c>
      <c r="L526" s="141"/>
      <c r="M526" s="157" t="e">
        <f>N526-#REF!-#REF!</f>
        <v>#REF!</v>
      </c>
      <c r="N526" s="158">
        <f t="shared" si="46"/>
        <v>0</v>
      </c>
    </row>
    <row r="527" spans="2:14" hidden="1" x14ac:dyDescent="0.25">
      <c r="B527" s="154">
        <v>7</v>
      </c>
      <c r="C527" s="685"/>
      <c r="D527" s="685"/>
      <c r="E527" s="685"/>
      <c r="F527" s="685"/>
      <c r="G527" s="685"/>
      <c r="H527" s="804"/>
      <c r="I527" s="155"/>
      <c r="J527" s="140"/>
      <c r="K527" s="156">
        <f>IF(J527=0,0,(#REF!*I527)/SQRT(J527))</f>
        <v>0</v>
      </c>
      <c r="L527" s="141"/>
      <c r="M527" s="157" t="e">
        <f>N527-#REF!-#REF!</f>
        <v>#REF!</v>
      </c>
      <c r="N527" s="158">
        <f t="shared" si="46"/>
        <v>0</v>
      </c>
    </row>
    <row r="528" spans="2:14" hidden="1" x14ac:dyDescent="0.25">
      <c r="B528" s="154">
        <v>8</v>
      </c>
      <c r="C528" s="685"/>
      <c r="D528" s="685"/>
      <c r="E528" s="685"/>
      <c r="F528" s="685"/>
      <c r="G528" s="685"/>
      <c r="H528" s="804"/>
      <c r="I528" s="155"/>
      <c r="J528" s="140"/>
      <c r="K528" s="156">
        <f>IF(J528=0,0,(#REF!*I528)/SQRT(J528))</f>
        <v>0</v>
      </c>
      <c r="L528" s="141"/>
      <c r="M528" s="157" t="e">
        <f>N528-#REF!-#REF!</f>
        <v>#REF!</v>
      </c>
      <c r="N528" s="158">
        <f t="shared" si="46"/>
        <v>0</v>
      </c>
    </row>
    <row r="529" spans="2:14" hidden="1" x14ac:dyDescent="0.25">
      <c r="B529" s="154">
        <v>9</v>
      </c>
      <c r="C529" s="685"/>
      <c r="D529" s="685"/>
      <c r="E529" s="685"/>
      <c r="F529" s="685"/>
      <c r="G529" s="685"/>
      <c r="H529" s="804"/>
      <c r="I529" s="155"/>
      <c r="J529" s="140"/>
      <c r="K529" s="156">
        <f>IF(J529=0,0,(#REF!*I529)/SQRT(J529))</f>
        <v>0</v>
      </c>
      <c r="L529" s="141"/>
      <c r="M529" s="157" t="e">
        <f>N529-#REF!-#REF!</f>
        <v>#REF!</v>
      </c>
      <c r="N529" s="158">
        <f t="shared" si="46"/>
        <v>0</v>
      </c>
    </row>
    <row r="530" spans="2:14" hidden="1" x14ac:dyDescent="0.25">
      <c r="B530" s="154">
        <v>10</v>
      </c>
      <c r="C530" s="685"/>
      <c r="D530" s="685"/>
      <c r="E530" s="685"/>
      <c r="F530" s="685"/>
      <c r="G530" s="685"/>
      <c r="H530" s="804"/>
      <c r="I530" s="155"/>
      <c r="J530" s="140"/>
      <c r="K530" s="156">
        <f>IF(J530=0,0,(#REF!*I530)/SQRT(J530))</f>
        <v>0</v>
      </c>
      <c r="L530" s="141"/>
      <c r="M530" s="157" t="e">
        <f>N530-#REF!-#REF!</f>
        <v>#REF!</v>
      </c>
      <c r="N530" s="158">
        <f t="shared" si="46"/>
        <v>0</v>
      </c>
    </row>
    <row r="531" spans="2:14" hidden="1" x14ac:dyDescent="0.25">
      <c r="B531" s="159"/>
      <c r="C531" s="811" t="s">
        <v>4001</v>
      </c>
      <c r="D531" s="811"/>
      <c r="E531" s="811"/>
      <c r="F531" s="811"/>
      <c r="G531" s="811"/>
      <c r="H531" s="811"/>
      <c r="I531" s="811"/>
      <c r="J531" s="811"/>
      <c r="K531" s="811"/>
      <c r="L531" s="812"/>
      <c r="M531" s="160" t="e">
        <f>SUM(M521:M530)</f>
        <v>#REF!</v>
      </c>
      <c r="N531" s="161">
        <f>SUM(N521:N530)</f>
        <v>0</v>
      </c>
    </row>
    <row r="532" spans="2:14" hidden="1" x14ac:dyDescent="0.25">
      <c r="B532" s="810" t="s">
        <v>3989</v>
      </c>
      <c r="C532" s="810"/>
      <c r="D532" s="810"/>
      <c r="E532" s="810"/>
      <c r="F532" s="810"/>
      <c r="G532" s="810"/>
      <c r="H532" s="810"/>
      <c r="I532" s="810"/>
      <c r="J532" s="810"/>
      <c r="K532" s="810"/>
      <c r="L532" s="810"/>
      <c r="M532" s="810" t="s">
        <v>3909</v>
      </c>
      <c r="N532" s="810"/>
    </row>
    <row r="533" spans="2:14" hidden="1" x14ac:dyDescent="0.25">
      <c r="B533" s="815" t="s">
        <v>3984</v>
      </c>
      <c r="C533" s="816"/>
      <c r="D533" s="816"/>
      <c r="E533" s="816"/>
      <c r="F533" s="816"/>
      <c r="G533" s="816"/>
      <c r="H533" s="817"/>
      <c r="I533" s="151" t="s">
        <v>3985</v>
      </c>
      <c r="J533" s="151" t="s">
        <v>3987</v>
      </c>
      <c r="K533" s="151" t="s">
        <v>4030</v>
      </c>
      <c r="L533" s="151" t="s">
        <v>3981</v>
      </c>
      <c r="M533" s="151" t="s">
        <v>3982</v>
      </c>
      <c r="N533" s="153" t="s">
        <v>3794</v>
      </c>
    </row>
    <row r="534" spans="2:14" hidden="1" x14ac:dyDescent="0.25">
      <c r="B534" s="154">
        <v>1</v>
      </c>
      <c r="C534" s="685"/>
      <c r="D534" s="685"/>
      <c r="E534" s="685"/>
      <c r="F534" s="685"/>
      <c r="G534" s="685"/>
      <c r="H534" s="804"/>
      <c r="I534" s="155"/>
      <c r="J534" s="140"/>
      <c r="K534" s="156">
        <f>IF(J534=0,0,(#REF!*I534)/SQRT(J534))</f>
        <v>0</v>
      </c>
      <c r="L534" s="141"/>
      <c r="M534" s="157" t="e">
        <f>N534-#REF!-#REF!</f>
        <v>#REF!</v>
      </c>
      <c r="N534" s="158">
        <f t="shared" ref="N534:N543" si="47">J534*L534</f>
        <v>0</v>
      </c>
    </row>
    <row r="535" spans="2:14" hidden="1" x14ac:dyDescent="0.25">
      <c r="B535" s="154">
        <v>2</v>
      </c>
      <c r="C535" s="685"/>
      <c r="D535" s="685"/>
      <c r="E535" s="685"/>
      <c r="F535" s="685"/>
      <c r="G535" s="685"/>
      <c r="H535" s="804"/>
      <c r="I535" s="155"/>
      <c r="J535" s="140"/>
      <c r="K535" s="156">
        <f>IF(J535=0,0,(#REF!*I535)/SQRT(J535))</f>
        <v>0</v>
      </c>
      <c r="L535" s="141"/>
      <c r="M535" s="157" t="e">
        <f>N535-#REF!-#REF!</f>
        <v>#REF!</v>
      </c>
      <c r="N535" s="158">
        <f t="shared" si="47"/>
        <v>0</v>
      </c>
    </row>
    <row r="536" spans="2:14" hidden="1" x14ac:dyDescent="0.25">
      <c r="B536" s="154">
        <v>3</v>
      </c>
      <c r="C536" s="685"/>
      <c r="D536" s="685"/>
      <c r="E536" s="685"/>
      <c r="F536" s="685"/>
      <c r="G536" s="685"/>
      <c r="H536" s="804"/>
      <c r="I536" s="155"/>
      <c r="J536" s="140"/>
      <c r="K536" s="156">
        <f>IF(J536=0,0,(#REF!*I536)/SQRT(J536))</f>
        <v>0</v>
      </c>
      <c r="L536" s="141"/>
      <c r="M536" s="157" t="e">
        <f>N536-#REF!-#REF!</f>
        <v>#REF!</v>
      </c>
      <c r="N536" s="158">
        <f t="shared" si="47"/>
        <v>0</v>
      </c>
    </row>
    <row r="537" spans="2:14" hidden="1" x14ac:dyDescent="0.25">
      <c r="B537" s="154">
        <v>4</v>
      </c>
      <c r="C537" s="685"/>
      <c r="D537" s="685"/>
      <c r="E537" s="685"/>
      <c r="F537" s="685"/>
      <c r="G537" s="685"/>
      <c r="H537" s="804"/>
      <c r="I537" s="155"/>
      <c r="J537" s="140"/>
      <c r="K537" s="156">
        <f>IF(J537=0,0,(#REF!*I537)/SQRT(J537))</f>
        <v>0</v>
      </c>
      <c r="L537" s="141"/>
      <c r="M537" s="157" t="e">
        <f>N537-#REF!-#REF!</f>
        <v>#REF!</v>
      </c>
      <c r="N537" s="158">
        <f t="shared" si="47"/>
        <v>0</v>
      </c>
    </row>
    <row r="538" spans="2:14" hidden="1" x14ac:dyDescent="0.25">
      <c r="B538" s="154">
        <v>5</v>
      </c>
      <c r="C538" s="685"/>
      <c r="D538" s="685"/>
      <c r="E538" s="685"/>
      <c r="F538" s="685"/>
      <c r="G538" s="685"/>
      <c r="H538" s="804"/>
      <c r="I538" s="155"/>
      <c r="J538" s="140"/>
      <c r="K538" s="156">
        <f>IF(J538=0,0,(#REF!*I538)/SQRT(J538))</f>
        <v>0</v>
      </c>
      <c r="L538" s="141"/>
      <c r="M538" s="157" t="e">
        <f>N538-#REF!-#REF!</f>
        <v>#REF!</v>
      </c>
      <c r="N538" s="158">
        <f t="shared" si="47"/>
        <v>0</v>
      </c>
    </row>
    <row r="539" spans="2:14" hidden="1" x14ac:dyDescent="0.25">
      <c r="B539" s="154">
        <v>6</v>
      </c>
      <c r="C539" s="685"/>
      <c r="D539" s="685"/>
      <c r="E539" s="685"/>
      <c r="F539" s="685"/>
      <c r="G539" s="685"/>
      <c r="H539" s="804"/>
      <c r="I539" s="155"/>
      <c r="J539" s="140"/>
      <c r="K539" s="156">
        <f>IF(J539=0,0,(#REF!*I539)/SQRT(J539))</f>
        <v>0</v>
      </c>
      <c r="L539" s="141"/>
      <c r="M539" s="157" t="e">
        <f>N539-#REF!-#REF!</f>
        <v>#REF!</v>
      </c>
      <c r="N539" s="158">
        <f t="shared" si="47"/>
        <v>0</v>
      </c>
    </row>
    <row r="540" spans="2:14" hidden="1" x14ac:dyDescent="0.25">
      <c r="B540" s="154">
        <v>7</v>
      </c>
      <c r="C540" s="685"/>
      <c r="D540" s="685"/>
      <c r="E540" s="685"/>
      <c r="F540" s="685"/>
      <c r="G540" s="685"/>
      <c r="H540" s="804"/>
      <c r="I540" s="155"/>
      <c r="J540" s="140"/>
      <c r="K540" s="156">
        <f>IF(J540=0,0,(#REF!*I540)/SQRT(J540))</f>
        <v>0</v>
      </c>
      <c r="L540" s="141"/>
      <c r="M540" s="157" t="e">
        <f>N540-#REF!-#REF!</f>
        <v>#REF!</v>
      </c>
      <c r="N540" s="158">
        <f t="shared" si="47"/>
        <v>0</v>
      </c>
    </row>
    <row r="541" spans="2:14" hidden="1" x14ac:dyDescent="0.25">
      <c r="B541" s="154">
        <v>8</v>
      </c>
      <c r="C541" s="685"/>
      <c r="D541" s="685"/>
      <c r="E541" s="685"/>
      <c r="F541" s="685"/>
      <c r="G541" s="685"/>
      <c r="H541" s="804"/>
      <c r="I541" s="155"/>
      <c r="J541" s="140"/>
      <c r="K541" s="156">
        <f>IF(J541=0,0,(#REF!*I541)/SQRT(J541))</f>
        <v>0</v>
      </c>
      <c r="L541" s="141"/>
      <c r="M541" s="157" t="e">
        <f>N541-#REF!-#REF!</f>
        <v>#REF!</v>
      </c>
      <c r="N541" s="158">
        <f t="shared" si="47"/>
        <v>0</v>
      </c>
    </row>
    <row r="542" spans="2:14" hidden="1" x14ac:dyDescent="0.25">
      <c r="B542" s="154">
        <v>9</v>
      </c>
      <c r="C542" s="685"/>
      <c r="D542" s="685"/>
      <c r="E542" s="685"/>
      <c r="F542" s="685"/>
      <c r="G542" s="685"/>
      <c r="H542" s="804"/>
      <c r="I542" s="155"/>
      <c r="J542" s="140"/>
      <c r="K542" s="156">
        <f>IF(J542=0,0,(#REF!*I542)/SQRT(J542))</f>
        <v>0</v>
      </c>
      <c r="L542" s="141"/>
      <c r="M542" s="157" t="e">
        <f>N542-#REF!-#REF!</f>
        <v>#REF!</v>
      </c>
      <c r="N542" s="158">
        <f t="shared" si="47"/>
        <v>0</v>
      </c>
    </row>
    <row r="543" spans="2:14" hidden="1" x14ac:dyDescent="0.25">
      <c r="B543" s="154">
        <v>10</v>
      </c>
      <c r="C543" s="685"/>
      <c r="D543" s="685"/>
      <c r="E543" s="685"/>
      <c r="F543" s="685"/>
      <c r="G543" s="685"/>
      <c r="H543" s="804"/>
      <c r="I543" s="155"/>
      <c r="J543" s="140"/>
      <c r="K543" s="156">
        <f>IF(J543=0,0,(#REF!*I543)/SQRT(J543))</f>
        <v>0</v>
      </c>
      <c r="L543" s="141"/>
      <c r="M543" s="157" t="e">
        <f>N543-#REF!-#REF!</f>
        <v>#REF!</v>
      </c>
      <c r="N543" s="158">
        <f t="shared" si="47"/>
        <v>0</v>
      </c>
    </row>
    <row r="544" spans="2:14" hidden="1" x14ac:dyDescent="0.25">
      <c r="B544" s="159"/>
      <c r="C544" s="811" t="s">
        <v>4003</v>
      </c>
      <c r="D544" s="811"/>
      <c r="E544" s="811"/>
      <c r="F544" s="811"/>
      <c r="G544" s="811"/>
      <c r="H544" s="811"/>
      <c r="I544" s="811"/>
      <c r="J544" s="811"/>
      <c r="K544" s="811"/>
      <c r="L544" s="812"/>
      <c r="M544" s="160" t="e">
        <f>SUM(M534:M543)</f>
        <v>#REF!</v>
      </c>
      <c r="N544" s="161">
        <f>SUM(N534:N543)</f>
        <v>0</v>
      </c>
    </row>
    <row r="545" spans="2:14" hidden="1" x14ac:dyDescent="0.25">
      <c r="B545" s="162"/>
      <c r="C545" s="813" t="s">
        <v>4004</v>
      </c>
      <c r="D545" s="813"/>
      <c r="E545" s="813"/>
      <c r="F545" s="813"/>
      <c r="G545" s="813"/>
      <c r="H545" s="813"/>
      <c r="I545" s="813"/>
      <c r="J545" s="813"/>
      <c r="K545" s="813"/>
      <c r="L545" s="814"/>
      <c r="M545" s="163" t="e">
        <f>SUM(M531,M544)</f>
        <v>#REF!</v>
      </c>
      <c r="N545" s="164">
        <f>SUM(N531,N544)</f>
        <v>0</v>
      </c>
    </row>
    <row r="546" spans="2:14" hidden="1" x14ac:dyDescent="0.25">
      <c r="B546" s="772" t="s">
        <v>4033</v>
      </c>
      <c r="C546" s="773"/>
      <c r="D546" s="773"/>
      <c r="E546" s="773"/>
      <c r="F546" s="773"/>
      <c r="G546" s="773"/>
      <c r="H546" s="773"/>
      <c r="I546" s="773"/>
      <c r="J546" s="773"/>
      <c r="K546" s="773"/>
      <c r="L546" s="773"/>
      <c r="M546" s="773"/>
      <c r="N546" s="774"/>
    </row>
    <row r="547" spans="2:14" hidden="1" x14ac:dyDescent="0.25">
      <c r="B547" s="810" t="s">
        <v>3978</v>
      </c>
      <c r="C547" s="810"/>
      <c r="D547" s="810"/>
      <c r="E547" s="810"/>
      <c r="F547" s="810"/>
      <c r="G547" s="810"/>
      <c r="H547" s="810"/>
      <c r="I547" s="810"/>
      <c r="J547" s="810"/>
      <c r="K547" s="810"/>
      <c r="L547" s="810"/>
      <c r="M547" s="810" t="s">
        <v>3909</v>
      </c>
      <c r="N547" s="810"/>
    </row>
    <row r="548" spans="2:14" hidden="1" x14ac:dyDescent="0.25">
      <c r="B548" s="815" t="s">
        <v>3984</v>
      </c>
      <c r="C548" s="816"/>
      <c r="D548" s="816"/>
      <c r="E548" s="816"/>
      <c r="F548" s="816"/>
      <c r="G548" s="816"/>
      <c r="H548" s="817"/>
      <c r="I548" s="151" t="s">
        <v>3985</v>
      </c>
      <c r="J548" s="151" t="s">
        <v>3987</v>
      </c>
      <c r="K548" s="151" t="s">
        <v>4030</v>
      </c>
      <c r="L548" s="151" t="s">
        <v>3981</v>
      </c>
      <c r="M548" s="151" t="s">
        <v>3982</v>
      </c>
      <c r="N548" s="153" t="s">
        <v>3794</v>
      </c>
    </row>
    <row r="549" spans="2:14" hidden="1" x14ac:dyDescent="0.25">
      <c r="B549" s="154">
        <v>1</v>
      </c>
      <c r="C549" s="685"/>
      <c r="D549" s="685"/>
      <c r="E549" s="685"/>
      <c r="F549" s="685"/>
      <c r="G549" s="685"/>
      <c r="H549" s="804"/>
      <c r="I549" s="155"/>
      <c r="J549" s="140"/>
      <c r="K549" s="156">
        <f>IF(J549=0,0,(#REF!*I549)/SQRT(J549))</f>
        <v>0</v>
      </c>
      <c r="L549" s="141"/>
      <c r="M549" s="157" t="e">
        <f>N549-#REF!-#REF!</f>
        <v>#REF!</v>
      </c>
      <c r="N549" s="158">
        <f t="shared" ref="N549:N558" si="48">J549*L549</f>
        <v>0</v>
      </c>
    </row>
    <row r="550" spans="2:14" hidden="1" x14ac:dyDescent="0.25">
      <c r="B550" s="154">
        <v>2</v>
      </c>
      <c r="C550" s="685"/>
      <c r="D550" s="685"/>
      <c r="E550" s="685"/>
      <c r="F550" s="685"/>
      <c r="G550" s="685"/>
      <c r="H550" s="804"/>
      <c r="I550" s="155"/>
      <c r="J550" s="140"/>
      <c r="K550" s="156">
        <f>IF(J550=0,0,(#REF!*I550)/SQRT(J550))</f>
        <v>0</v>
      </c>
      <c r="L550" s="141"/>
      <c r="M550" s="157" t="e">
        <f>N550-#REF!-#REF!</f>
        <v>#REF!</v>
      </c>
      <c r="N550" s="158">
        <f t="shared" si="48"/>
        <v>0</v>
      </c>
    </row>
    <row r="551" spans="2:14" hidden="1" x14ac:dyDescent="0.25">
      <c r="B551" s="154">
        <v>3</v>
      </c>
      <c r="C551" s="685"/>
      <c r="D551" s="685"/>
      <c r="E551" s="685"/>
      <c r="F551" s="685"/>
      <c r="G551" s="685"/>
      <c r="H551" s="804"/>
      <c r="I551" s="155"/>
      <c r="J551" s="140"/>
      <c r="K551" s="156">
        <f>IF(J551=0,0,(#REF!*I551)/SQRT(J551))</f>
        <v>0</v>
      </c>
      <c r="L551" s="141"/>
      <c r="M551" s="157" t="e">
        <f>N551-#REF!-#REF!</f>
        <v>#REF!</v>
      </c>
      <c r="N551" s="158">
        <f t="shared" si="48"/>
        <v>0</v>
      </c>
    </row>
    <row r="552" spans="2:14" hidden="1" x14ac:dyDescent="0.25">
      <c r="B552" s="154">
        <v>4</v>
      </c>
      <c r="C552" s="685"/>
      <c r="D552" s="685"/>
      <c r="E552" s="685"/>
      <c r="F552" s="685"/>
      <c r="G552" s="685"/>
      <c r="H552" s="804"/>
      <c r="I552" s="155"/>
      <c r="J552" s="140"/>
      <c r="K552" s="156">
        <f>IF(J552=0,0,(#REF!*I552)/SQRT(J552))</f>
        <v>0</v>
      </c>
      <c r="L552" s="141"/>
      <c r="M552" s="157" t="e">
        <f>N552-#REF!-#REF!</f>
        <v>#REF!</v>
      </c>
      <c r="N552" s="158">
        <f t="shared" si="48"/>
        <v>0</v>
      </c>
    </row>
    <row r="553" spans="2:14" hidden="1" x14ac:dyDescent="0.25">
      <c r="B553" s="154">
        <v>5</v>
      </c>
      <c r="C553" s="685"/>
      <c r="D553" s="685"/>
      <c r="E553" s="685"/>
      <c r="F553" s="685"/>
      <c r="G553" s="685"/>
      <c r="H553" s="804"/>
      <c r="I553" s="155"/>
      <c r="J553" s="140"/>
      <c r="K553" s="156">
        <f>IF(J553=0,0,(#REF!*I553)/SQRT(J553))</f>
        <v>0</v>
      </c>
      <c r="L553" s="141"/>
      <c r="M553" s="157" t="e">
        <f>N553-#REF!-#REF!</f>
        <v>#REF!</v>
      </c>
      <c r="N553" s="158">
        <f t="shared" si="48"/>
        <v>0</v>
      </c>
    </row>
    <row r="554" spans="2:14" hidden="1" x14ac:dyDescent="0.25">
      <c r="B554" s="154">
        <v>6</v>
      </c>
      <c r="C554" s="685"/>
      <c r="D554" s="685"/>
      <c r="E554" s="685"/>
      <c r="F554" s="685"/>
      <c r="G554" s="685"/>
      <c r="H554" s="804"/>
      <c r="I554" s="155"/>
      <c r="J554" s="140"/>
      <c r="K554" s="156">
        <f>IF(J554=0,0,(#REF!*I554)/SQRT(J554))</f>
        <v>0</v>
      </c>
      <c r="L554" s="141"/>
      <c r="M554" s="157" t="e">
        <f>N554-#REF!-#REF!</f>
        <v>#REF!</v>
      </c>
      <c r="N554" s="158">
        <f t="shared" si="48"/>
        <v>0</v>
      </c>
    </row>
    <row r="555" spans="2:14" hidden="1" x14ac:dyDescent="0.25">
      <c r="B555" s="154">
        <v>7</v>
      </c>
      <c r="C555" s="685"/>
      <c r="D555" s="685"/>
      <c r="E555" s="685"/>
      <c r="F555" s="685"/>
      <c r="G555" s="685"/>
      <c r="H555" s="804"/>
      <c r="I555" s="155"/>
      <c r="J555" s="140"/>
      <c r="K555" s="156">
        <f>IF(J555=0,0,(#REF!*I555)/SQRT(J555))</f>
        <v>0</v>
      </c>
      <c r="L555" s="141"/>
      <c r="M555" s="157" t="e">
        <f>N555-#REF!-#REF!</f>
        <v>#REF!</v>
      </c>
      <c r="N555" s="158">
        <f t="shared" si="48"/>
        <v>0</v>
      </c>
    </row>
    <row r="556" spans="2:14" hidden="1" x14ac:dyDescent="0.25">
      <c r="B556" s="154">
        <v>8</v>
      </c>
      <c r="C556" s="685"/>
      <c r="D556" s="685"/>
      <c r="E556" s="685"/>
      <c r="F556" s="685"/>
      <c r="G556" s="685"/>
      <c r="H556" s="804"/>
      <c r="I556" s="155"/>
      <c r="J556" s="140"/>
      <c r="K556" s="156">
        <f>IF(J556=0,0,(#REF!*I556)/SQRT(J556))</f>
        <v>0</v>
      </c>
      <c r="L556" s="141"/>
      <c r="M556" s="157" t="e">
        <f>N556-#REF!-#REF!</f>
        <v>#REF!</v>
      </c>
      <c r="N556" s="158">
        <f t="shared" si="48"/>
        <v>0</v>
      </c>
    </row>
    <row r="557" spans="2:14" hidden="1" x14ac:dyDescent="0.25">
      <c r="B557" s="154">
        <v>9</v>
      </c>
      <c r="C557" s="685"/>
      <c r="D557" s="685"/>
      <c r="E557" s="685"/>
      <c r="F557" s="685"/>
      <c r="G557" s="685"/>
      <c r="H557" s="804"/>
      <c r="I557" s="155"/>
      <c r="J557" s="140"/>
      <c r="K557" s="156">
        <f>IF(J557=0,0,(#REF!*I557)/SQRT(J557))</f>
        <v>0</v>
      </c>
      <c r="L557" s="141"/>
      <c r="M557" s="157" t="e">
        <f>N557-#REF!-#REF!</f>
        <v>#REF!</v>
      </c>
      <c r="N557" s="158">
        <f t="shared" si="48"/>
        <v>0</v>
      </c>
    </row>
    <row r="558" spans="2:14" hidden="1" x14ac:dyDescent="0.25">
      <c r="B558" s="154">
        <v>10</v>
      </c>
      <c r="C558" s="685"/>
      <c r="D558" s="685"/>
      <c r="E558" s="685"/>
      <c r="F558" s="685"/>
      <c r="G558" s="685"/>
      <c r="H558" s="804"/>
      <c r="I558" s="155"/>
      <c r="J558" s="140"/>
      <c r="K558" s="156">
        <f>IF(J558=0,0,(#REF!*I558)/SQRT(J558))</f>
        <v>0</v>
      </c>
      <c r="L558" s="141"/>
      <c r="M558" s="157" t="e">
        <f>N558-#REF!-#REF!</f>
        <v>#REF!</v>
      </c>
      <c r="N558" s="158">
        <f t="shared" si="48"/>
        <v>0</v>
      </c>
    </row>
    <row r="559" spans="2:14" hidden="1" x14ac:dyDescent="0.25">
      <c r="B559" s="159"/>
      <c r="C559" s="811" t="s">
        <v>4007</v>
      </c>
      <c r="D559" s="811"/>
      <c r="E559" s="811"/>
      <c r="F559" s="811"/>
      <c r="G559" s="811"/>
      <c r="H559" s="811"/>
      <c r="I559" s="811"/>
      <c r="J559" s="811"/>
      <c r="K559" s="811"/>
      <c r="L559" s="812"/>
      <c r="M559" s="160" t="e">
        <f>SUM(M549:M558)</f>
        <v>#REF!</v>
      </c>
      <c r="N559" s="161">
        <f>SUM(N549:N558)</f>
        <v>0</v>
      </c>
    </row>
    <row r="560" spans="2:14" hidden="1" x14ac:dyDescent="0.25">
      <c r="B560" s="810" t="s">
        <v>3989</v>
      </c>
      <c r="C560" s="810"/>
      <c r="D560" s="810"/>
      <c r="E560" s="810"/>
      <c r="F560" s="810"/>
      <c r="G560" s="810"/>
      <c r="H560" s="810"/>
      <c r="I560" s="810"/>
      <c r="J560" s="810"/>
      <c r="K560" s="810"/>
      <c r="L560" s="810"/>
      <c r="M560" s="810" t="s">
        <v>3909</v>
      </c>
      <c r="N560" s="810"/>
    </row>
    <row r="561" spans="2:14" hidden="1" x14ac:dyDescent="0.25">
      <c r="B561" s="815" t="s">
        <v>3984</v>
      </c>
      <c r="C561" s="816"/>
      <c r="D561" s="816"/>
      <c r="E561" s="816"/>
      <c r="F561" s="816"/>
      <c r="G561" s="816"/>
      <c r="H561" s="817"/>
      <c r="I561" s="151" t="s">
        <v>3985</v>
      </c>
      <c r="J561" s="151" t="s">
        <v>3987</v>
      </c>
      <c r="K561" s="151" t="s">
        <v>4030</v>
      </c>
      <c r="L561" s="151" t="s">
        <v>3981</v>
      </c>
      <c r="M561" s="151" t="s">
        <v>3982</v>
      </c>
      <c r="N561" s="153" t="s">
        <v>3794</v>
      </c>
    </row>
    <row r="562" spans="2:14" hidden="1" x14ac:dyDescent="0.25">
      <c r="B562" s="154">
        <v>1</v>
      </c>
      <c r="C562" s="685"/>
      <c r="D562" s="685"/>
      <c r="E562" s="685"/>
      <c r="F562" s="685"/>
      <c r="G562" s="685"/>
      <c r="H562" s="804"/>
      <c r="I562" s="155"/>
      <c r="J562" s="140"/>
      <c r="K562" s="156">
        <f>IF(J562=0,0,(#REF!*I562)/SQRT(J562))</f>
        <v>0</v>
      </c>
      <c r="L562" s="141"/>
      <c r="M562" s="157" t="e">
        <f>N562-#REF!-#REF!</f>
        <v>#REF!</v>
      </c>
      <c r="N562" s="158">
        <f t="shared" ref="N562:N571" si="49">J562*L562</f>
        <v>0</v>
      </c>
    </row>
    <row r="563" spans="2:14" hidden="1" x14ac:dyDescent="0.25">
      <c r="B563" s="154">
        <v>2</v>
      </c>
      <c r="C563" s="685"/>
      <c r="D563" s="685"/>
      <c r="E563" s="685"/>
      <c r="F563" s="685"/>
      <c r="G563" s="685"/>
      <c r="H563" s="804"/>
      <c r="I563" s="155"/>
      <c r="J563" s="140"/>
      <c r="K563" s="156">
        <f>IF(J563=0,0,(#REF!*I563)/SQRT(J563))</f>
        <v>0</v>
      </c>
      <c r="L563" s="141"/>
      <c r="M563" s="157" t="e">
        <f>N563-#REF!-#REF!</f>
        <v>#REF!</v>
      </c>
      <c r="N563" s="158">
        <f t="shared" si="49"/>
        <v>0</v>
      </c>
    </row>
    <row r="564" spans="2:14" hidden="1" x14ac:dyDescent="0.25">
      <c r="B564" s="154">
        <v>3</v>
      </c>
      <c r="C564" s="685"/>
      <c r="D564" s="685"/>
      <c r="E564" s="685"/>
      <c r="F564" s="685"/>
      <c r="G564" s="685"/>
      <c r="H564" s="804"/>
      <c r="I564" s="155"/>
      <c r="J564" s="140"/>
      <c r="K564" s="156">
        <f>IF(J564=0,0,(#REF!*I564)/SQRT(J564))</f>
        <v>0</v>
      </c>
      <c r="L564" s="141"/>
      <c r="M564" s="157" t="e">
        <f>N564-#REF!-#REF!</f>
        <v>#REF!</v>
      </c>
      <c r="N564" s="158">
        <f t="shared" si="49"/>
        <v>0</v>
      </c>
    </row>
    <row r="565" spans="2:14" hidden="1" x14ac:dyDescent="0.25">
      <c r="B565" s="154">
        <v>4</v>
      </c>
      <c r="C565" s="685"/>
      <c r="D565" s="685"/>
      <c r="E565" s="685"/>
      <c r="F565" s="685"/>
      <c r="G565" s="685"/>
      <c r="H565" s="804"/>
      <c r="I565" s="155"/>
      <c r="J565" s="140"/>
      <c r="K565" s="156">
        <f>IF(J565=0,0,(#REF!*I565)/SQRT(J565))</f>
        <v>0</v>
      </c>
      <c r="L565" s="141"/>
      <c r="M565" s="157" t="e">
        <f>N565-#REF!-#REF!</f>
        <v>#REF!</v>
      </c>
      <c r="N565" s="158">
        <f t="shared" si="49"/>
        <v>0</v>
      </c>
    </row>
    <row r="566" spans="2:14" hidden="1" x14ac:dyDescent="0.25">
      <c r="B566" s="154">
        <v>5</v>
      </c>
      <c r="C566" s="685"/>
      <c r="D566" s="685"/>
      <c r="E566" s="685"/>
      <c r="F566" s="685"/>
      <c r="G566" s="685"/>
      <c r="H566" s="804"/>
      <c r="I566" s="155"/>
      <c r="J566" s="140"/>
      <c r="K566" s="156">
        <f>IF(J566=0,0,(#REF!*I566)/SQRT(J566))</f>
        <v>0</v>
      </c>
      <c r="L566" s="141"/>
      <c r="M566" s="157" t="e">
        <f>N566-#REF!-#REF!</f>
        <v>#REF!</v>
      </c>
      <c r="N566" s="158">
        <f t="shared" si="49"/>
        <v>0</v>
      </c>
    </row>
    <row r="567" spans="2:14" hidden="1" x14ac:dyDescent="0.25">
      <c r="B567" s="154">
        <v>6</v>
      </c>
      <c r="C567" s="685"/>
      <c r="D567" s="685"/>
      <c r="E567" s="685"/>
      <c r="F567" s="685"/>
      <c r="G567" s="685"/>
      <c r="H567" s="804"/>
      <c r="I567" s="155"/>
      <c r="J567" s="140"/>
      <c r="K567" s="156">
        <f>IF(J567=0,0,(#REF!*I567)/SQRT(J567))</f>
        <v>0</v>
      </c>
      <c r="L567" s="141"/>
      <c r="M567" s="157" t="e">
        <f>N567-#REF!-#REF!</f>
        <v>#REF!</v>
      </c>
      <c r="N567" s="158">
        <f t="shared" si="49"/>
        <v>0</v>
      </c>
    </row>
    <row r="568" spans="2:14" hidden="1" x14ac:dyDescent="0.25">
      <c r="B568" s="154">
        <v>7</v>
      </c>
      <c r="C568" s="685"/>
      <c r="D568" s="685"/>
      <c r="E568" s="685"/>
      <c r="F568" s="685"/>
      <c r="G568" s="685"/>
      <c r="H568" s="804"/>
      <c r="I568" s="155"/>
      <c r="J568" s="140"/>
      <c r="K568" s="156">
        <f>IF(J568=0,0,(#REF!*I568)/SQRT(J568))</f>
        <v>0</v>
      </c>
      <c r="L568" s="141"/>
      <c r="M568" s="157" t="e">
        <f>N568-#REF!-#REF!</f>
        <v>#REF!</v>
      </c>
      <c r="N568" s="158">
        <f t="shared" si="49"/>
        <v>0</v>
      </c>
    </row>
    <row r="569" spans="2:14" hidden="1" x14ac:dyDescent="0.25">
      <c r="B569" s="154">
        <v>8</v>
      </c>
      <c r="C569" s="685"/>
      <c r="D569" s="685"/>
      <c r="E569" s="685"/>
      <c r="F569" s="685"/>
      <c r="G569" s="685"/>
      <c r="H569" s="804"/>
      <c r="I569" s="155"/>
      <c r="J569" s="140"/>
      <c r="K569" s="156">
        <f>IF(J569=0,0,(#REF!*I569)/SQRT(J569))</f>
        <v>0</v>
      </c>
      <c r="L569" s="141"/>
      <c r="M569" s="157" t="e">
        <f>N569-#REF!-#REF!</f>
        <v>#REF!</v>
      </c>
      <c r="N569" s="158">
        <f t="shared" si="49"/>
        <v>0</v>
      </c>
    </row>
    <row r="570" spans="2:14" hidden="1" x14ac:dyDescent="0.25">
      <c r="B570" s="154">
        <v>9</v>
      </c>
      <c r="C570" s="685"/>
      <c r="D570" s="685"/>
      <c r="E570" s="685"/>
      <c r="F570" s="685"/>
      <c r="G570" s="685"/>
      <c r="H570" s="804"/>
      <c r="I570" s="155"/>
      <c r="J570" s="140"/>
      <c r="K570" s="156">
        <f>IF(J570=0,0,(#REF!*I570)/SQRT(J570))</f>
        <v>0</v>
      </c>
      <c r="L570" s="141"/>
      <c r="M570" s="157" t="e">
        <f>N570-#REF!-#REF!</f>
        <v>#REF!</v>
      </c>
      <c r="N570" s="158">
        <f t="shared" si="49"/>
        <v>0</v>
      </c>
    </row>
    <row r="571" spans="2:14" hidden="1" x14ac:dyDescent="0.25">
      <c r="B571" s="154">
        <v>10</v>
      </c>
      <c r="C571" s="685"/>
      <c r="D571" s="685"/>
      <c r="E571" s="685"/>
      <c r="F571" s="685"/>
      <c r="G571" s="685"/>
      <c r="H571" s="804"/>
      <c r="I571" s="155"/>
      <c r="J571" s="140"/>
      <c r="K571" s="156">
        <f>IF(J571=0,0,(#REF!*I571)/SQRT(J571))</f>
        <v>0</v>
      </c>
      <c r="L571" s="141"/>
      <c r="M571" s="157" t="e">
        <f>N571-#REF!-#REF!</f>
        <v>#REF!</v>
      </c>
      <c r="N571" s="158">
        <f t="shared" si="49"/>
        <v>0</v>
      </c>
    </row>
    <row r="572" spans="2:14" hidden="1" x14ac:dyDescent="0.25">
      <c r="B572" s="159"/>
      <c r="C572" s="811" t="s">
        <v>4009</v>
      </c>
      <c r="D572" s="811"/>
      <c r="E572" s="811"/>
      <c r="F572" s="811"/>
      <c r="G572" s="811"/>
      <c r="H572" s="811"/>
      <c r="I572" s="811"/>
      <c r="J572" s="811"/>
      <c r="K572" s="811"/>
      <c r="L572" s="812"/>
      <c r="M572" s="160" t="e">
        <f>SUM(M562:M571)</f>
        <v>#REF!</v>
      </c>
      <c r="N572" s="161">
        <f>SUM(N562:N571)</f>
        <v>0</v>
      </c>
    </row>
    <row r="573" spans="2:14" hidden="1" x14ac:dyDescent="0.25">
      <c r="B573" s="162"/>
      <c r="C573" s="813" t="s">
        <v>4010</v>
      </c>
      <c r="D573" s="813"/>
      <c r="E573" s="813"/>
      <c r="F573" s="813"/>
      <c r="G573" s="813"/>
      <c r="H573" s="813"/>
      <c r="I573" s="813"/>
      <c r="J573" s="813"/>
      <c r="K573" s="813"/>
      <c r="L573" s="814"/>
      <c r="M573" s="163" t="e">
        <f>SUM(M559,M572)</f>
        <v>#REF!</v>
      </c>
      <c r="N573" s="164">
        <f>SUM(N559,N572)</f>
        <v>0</v>
      </c>
    </row>
    <row r="574" spans="2:14" hidden="1" x14ac:dyDescent="0.25">
      <c r="B574" s="772" t="s">
        <v>4034</v>
      </c>
      <c r="C574" s="773"/>
      <c r="D574" s="773"/>
      <c r="E574" s="773"/>
      <c r="F574" s="773"/>
      <c r="G574" s="773"/>
      <c r="H574" s="773"/>
      <c r="I574" s="773"/>
      <c r="J574" s="773"/>
      <c r="K574" s="773"/>
      <c r="L574" s="773"/>
      <c r="M574" s="773"/>
      <c r="N574" s="774"/>
    </row>
    <row r="575" spans="2:14" hidden="1" x14ac:dyDescent="0.25">
      <c r="B575" s="810" t="s">
        <v>3978</v>
      </c>
      <c r="C575" s="810"/>
      <c r="D575" s="810"/>
      <c r="E575" s="810"/>
      <c r="F575" s="810"/>
      <c r="G575" s="810"/>
      <c r="H575" s="810"/>
      <c r="I575" s="810"/>
      <c r="J575" s="810"/>
      <c r="K575" s="810"/>
      <c r="L575" s="810"/>
      <c r="M575" s="810" t="s">
        <v>3909</v>
      </c>
      <c r="N575" s="810"/>
    </row>
    <row r="576" spans="2:14" hidden="1" x14ac:dyDescent="0.25">
      <c r="B576" s="815" t="s">
        <v>3984</v>
      </c>
      <c r="C576" s="816"/>
      <c r="D576" s="816"/>
      <c r="E576" s="816"/>
      <c r="F576" s="816"/>
      <c r="G576" s="816"/>
      <c r="H576" s="817"/>
      <c r="I576" s="151" t="s">
        <v>3985</v>
      </c>
      <c r="J576" s="151" t="s">
        <v>3987</v>
      </c>
      <c r="K576" s="151" t="s">
        <v>4030</v>
      </c>
      <c r="L576" s="151" t="s">
        <v>3981</v>
      </c>
      <c r="M576" s="151" t="s">
        <v>3982</v>
      </c>
      <c r="N576" s="153" t="s">
        <v>3794</v>
      </c>
    </row>
    <row r="577" spans="2:14" hidden="1" x14ac:dyDescent="0.25">
      <c r="B577" s="154">
        <v>1</v>
      </c>
      <c r="C577" s="685"/>
      <c r="D577" s="685"/>
      <c r="E577" s="685"/>
      <c r="F577" s="685"/>
      <c r="G577" s="685"/>
      <c r="H577" s="804"/>
      <c r="I577" s="155"/>
      <c r="J577" s="140"/>
      <c r="K577" s="156">
        <f>IF(J577=0,0,(#REF!*I577)/SQRT(J577))</f>
        <v>0</v>
      </c>
      <c r="L577" s="141"/>
      <c r="M577" s="157" t="e">
        <f>N577-#REF!-#REF!</f>
        <v>#REF!</v>
      </c>
      <c r="N577" s="158">
        <f t="shared" ref="N577:N586" si="50">J577*L577</f>
        <v>0</v>
      </c>
    </row>
    <row r="578" spans="2:14" hidden="1" x14ac:dyDescent="0.25">
      <c r="B578" s="154">
        <v>2</v>
      </c>
      <c r="C578" s="685"/>
      <c r="D578" s="685"/>
      <c r="E578" s="685"/>
      <c r="F578" s="685"/>
      <c r="G578" s="685"/>
      <c r="H578" s="804"/>
      <c r="I578" s="155"/>
      <c r="J578" s="140"/>
      <c r="K578" s="156">
        <f>IF(J578=0,0,(#REF!*I578)/SQRT(J578))</f>
        <v>0</v>
      </c>
      <c r="L578" s="141"/>
      <c r="M578" s="157" t="e">
        <f>N578-#REF!-#REF!</f>
        <v>#REF!</v>
      </c>
      <c r="N578" s="158">
        <f t="shared" si="50"/>
        <v>0</v>
      </c>
    </row>
    <row r="579" spans="2:14" hidden="1" x14ac:dyDescent="0.25">
      <c r="B579" s="154">
        <v>3</v>
      </c>
      <c r="C579" s="685"/>
      <c r="D579" s="685"/>
      <c r="E579" s="685"/>
      <c r="F579" s="685"/>
      <c r="G579" s="685"/>
      <c r="H579" s="804"/>
      <c r="I579" s="155"/>
      <c r="J579" s="140"/>
      <c r="K579" s="156">
        <f>IF(J579=0,0,(#REF!*I579)/SQRT(J579))</f>
        <v>0</v>
      </c>
      <c r="L579" s="141"/>
      <c r="M579" s="157" t="e">
        <f>N579-#REF!-#REF!</f>
        <v>#REF!</v>
      </c>
      <c r="N579" s="158">
        <f t="shared" si="50"/>
        <v>0</v>
      </c>
    </row>
    <row r="580" spans="2:14" hidden="1" x14ac:dyDescent="0.25">
      <c r="B580" s="154">
        <v>4</v>
      </c>
      <c r="C580" s="685"/>
      <c r="D580" s="685"/>
      <c r="E580" s="685"/>
      <c r="F580" s="685"/>
      <c r="G580" s="685"/>
      <c r="H580" s="804"/>
      <c r="I580" s="155"/>
      <c r="J580" s="140"/>
      <c r="K580" s="156">
        <f>IF(J580=0,0,(#REF!*I580)/SQRT(J580))</f>
        <v>0</v>
      </c>
      <c r="L580" s="141"/>
      <c r="M580" s="157" t="e">
        <f>N580-#REF!-#REF!</f>
        <v>#REF!</v>
      </c>
      <c r="N580" s="158">
        <f t="shared" si="50"/>
        <v>0</v>
      </c>
    </row>
    <row r="581" spans="2:14" hidden="1" x14ac:dyDescent="0.25">
      <c r="B581" s="154">
        <v>5</v>
      </c>
      <c r="C581" s="685"/>
      <c r="D581" s="685"/>
      <c r="E581" s="685"/>
      <c r="F581" s="685"/>
      <c r="G581" s="685"/>
      <c r="H581" s="804"/>
      <c r="I581" s="155"/>
      <c r="J581" s="140"/>
      <c r="K581" s="156">
        <f>IF(J581=0,0,(#REF!*I581)/SQRT(J581))</f>
        <v>0</v>
      </c>
      <c r="L581" s="141"/>
      <c r="M581" s="157" t="e">
        <f>N581-#REF!-#REF!</f>
        <v>#REF!</v>
      </c>
      <c r="N581" s="158">
        <f t="shared" si="50"/>
        <v>0</v>
      </c>
    </row>
    <row r="582" spans="2:14" hidden="1" x14ac:dyDescent="0.25">
      <c r="B582" s="154">
        <v>6</v>
      </c>
      <c r="C582" s="685"/>
      <c r="D582" s="685"/>
      <c r="E582" s="685"/>
      <c r="F582" s="685"/>
      <c r="G582" s="685"/>
      <c r="H582" s="804"/>
      <c r="I582" s="155"/>
      <c r="J582" s="140"/>
      <c r="K582" s="156">
        <f>IF(J582=0,0,(#REF!*I582)/SQRT(J582))</f>
        <v>0</v>
      </c>
      <c r="L582" s="141"/>
      <c r="M582" s="157" t="e">
        <f>N582-#REF!-#REF!</f>
        <v>#REF!</v>
      </c>
      <c r="N582" s="158">
        <f t="shared" si="50"/>
        <v>0</v>
      </c>
    </row>
    <row r="583" spans="2:14" hidden="1" x14ac:dyDescent="0.25">
      <c r="B583" s="154">
        <v>7</v>
      </c>
      <c r="C583" s="685"/>
      <c r="D583" s="685"/>
      <c r="E583" s="685"/>
      <c r="F583" s="685"/>
      <c r="G583" s="685"/>
      <c r="H583" s="804"/>
      <c r="I583" s="155"/>
      <c r="J583" s="140"/>
      <c r="K583" s="156">
        <f>IF(J583=0,0,(#REF!*I583)/SQRT(J583))</f>
        <v>0</v>
      </c>
      <c r="L583" s="141"/>
      <c r="M583" s="157" t="e">
        <f>N583-#REF!-#REF!</f>
        <v>#REF!</v>
      </c>
      <c r="N583" s="158">
        <f t="shared" si="50"/>
        <v>0</v>
      </c>
    </row>
    <row r="584" spans="2:14" hidden="1" x14ac:dyDescent="0.25">
      <c r="B584" s="154">
        <v>8</v>
      </c>
      <c r="C584" s="685"/>
      <c r="D584" s="685"/>
      <c r="E584" s="685"/>
      <c r="F584" s="685"/>
      <c r="G584" s="685"/>
      <c r="H584" s="804"/>
      <c r="I584" s="155"/>
      <c r="J584" s="140"/>
      <c r="K584" s="156">
        <f>IF(J584=0,0,(#REF!*I584)/SQRT(J584))</f>
        <v>0</v>
      </c>
      <c r="L584" s="141"/>
      <c r="M584" s="157" t="e">
        <f>N584-#REF!-#REF!</f>
        <v>#REF!</v>
      </c>
      <c r="N584" s="158">
        <f t="shared" si="50"/>
        <v>0</v>
      </c>
    </row>
    <row r="585" spans="2:14" hidden="1" x14ac:dyDescent="0.25">
      <c r="B585" s="154">
        <v>9</v>
      </c>
      <c r="C585" s="685"/>
      <c r="D585" s="685"/>
      <c r="E585" s="685"/>
      <c r="F585" s="685"/>
      <c r="G585" s="685"/>
      <c r="H585" s="804"/>
      <c r="I585" s="155"/>
      <c r="J585" s="140"/>
      <c r="K585" s="156">
        <f>IF(J585=0,0,(#REF!*I585)/SQRT(J585))</f>
        <v>0</v>
      </c>
      <c r="L585" s="141"/>
      <c r="M585" s="157" t="e">
        <f>N585-#REF!-#REF!</f>
        <v>#REF!</v>
      </c>
      <c r="N585" s="158">
        <f t="shared" si="50"/>
        <v>0</v>
      </c>
    </row>
    <row r="586" spans="2:14" hidden="1" x14ac:dyDescent="0.25">
      <c r="B586" s="154">
        <v>10</v>
      </c>
      <c r="C586" s="685"/>
      <c r="D586" s="685"/>
      <c r="E586" s="685"/>
      <c r="F586" s="685"/>
      <c r="G586" s="685"/>
      <c r="H586" s="804"/>
      <c r="I586" s="155"/>
      <c r="J586" s="140"/>
      <c r="K586" s="156">
        <f>IF(J586=0,0,(#REF!*I586)/SQRT(J586))</f>
        <v>0</v>
      </c>
      <c r="L586" s="141"/>
      <c r="M586" s="157" t="e">
        <f>N586-#REF!-#REF!</f>
        <v>#REF!</v>
      </c>
      <c r="N586" s="158">
        <f t="shared" si="50"/>
        <v>0</v>
      </c>
    </row>
    <row r="587" spans="2:14" hidden="1" x14ac:dyDescent="0.25">
      <c r="B587" s="159"/>
      <c r="C587" s="811" t="s">
        <v>4013</v>
      </c>
      <c r="D587" s="811"/>
      <c r="E587" s="811"/>
      <c r="F587" s="811"/>
      <c r="G587" s="811"/>
      <c r="H587" s="811"/>
      <c r="I587" s="811"/>
      <c r="J587" s="811"/>
      <c r="K587" s="811"/>
      <c r="L587" s="812"/>
      <c r="M587" s="160" t="e">
        <f>SUM(M577:M586)</f>
        <v>#REF!</v>
      </c>
      <c r="N587" s="161">
        <f>SUM(N577:N586)</f>
        <v>0</v>
      </c>
    </row>
    <row r="588" spans="2:14" hidden="1" x14ac:dyDescent="0.25">
      <c r="B588" s="810" t="s">
        <v>3989</v>
      </c>
      <c r="C588" s="810"/>
      <c r="D588" s="810"/>
      <c r="E588" s="810"/>
      <c r="F588" s="810"/>
      <c r="G588" s="810"/>
      <c r="H588" s="810"/>
      <c r="I588" s="810"/>
      <c r="J588" s="810"/>
      <c r="K588" s="810"/>
      <c r="L588" s="810"/>
      <c r="M588" s="810" t="s">
        <v>3909</v>
      </c>
      <c r="N588" s="810"/>
    </row>
    <row r="589" spans="2:14" hidden="1" x14ac:dyDescent="0.25">
      <c r="B589" s="815" t="s">
        <v>3984</v>
      </c>
      <c r="C589" s="816"/>
      <c r="D589" s="816"/>
      <c r="E589" s="816"/>
      <c r="F589" s="816"/>
      <c r="G589" s="816"/>
      <c r="H589" s="817"/>
      <c r="I589" s="151" t="s">
        <v>3985</v>
      </c>
      <c r="J589" s="151" t="s">
        <v>3987</v>
      </c>
      <c r="K589" s="151" t="s">
        <v>4030</v>
      </c>
      <c r="L589" s="151" t="s">
        <v>3981</v>
      </c>
      <c r="M589" s="151" t="s">
        <v>3982</v>
      </c>
      <c r="N589" s="153" t="s">
        <v>3794</v>
      </c>
    </row>
    <row r="590" spans="2:14" hidden="1" x14ac:dyDescent="0.25">
      <c r="B590" s="154">
        <v>1</v>
      </c>
      <c r="C590" s="685"/>
      <c r="D590" s="685"/>
      <c r="E590" s="685"/>
      <c r="F590" s="685"/>
      <c r="G590" s="685"/>
      <c r="H590" s="804"/>
      <c r="I590" s="155"/>
      <c r="J590" s="140"/>
      <c r="K590" s="156">
        <f>IF(J590=0,0,(#REF!*I590)/SQRT(J590))</f>
        <v>0</v>
      </c>
      <c r="L590" s="141"/>
      <c r="M590" s="157" t="e">
        <f>N590-#REF!-#REF!</f>
        <v>#REF!</v>
      </c>
      <c r="N590" s="158">
        <f t="shared" ref="N590:N599" si="51">J590*L590</f>
        <v>0</v>
      </c>
    </row>
    <row r="591" spans="2:14" hidden="1" x14ac:dyDescent="0.25">
      <c r="B591" s="154">
        <v>2</v>
      </c>
      <c r="C591" s="685"/>
      <c r="D591" s="685"/>
      <c r="E591" s="685"/>
      <c r="F591" s="685"/>
      <c r="G591" s="685"/>
      <c r="H591" s="804"/>
      <c r="I591" s="155"/>
      <c r="J591" s="140"/>
      <c r="K591" s="156">
        <f>IF(J591=0,0,(#REF!*I591)/SQRT(J591))</f>
        <v>0</v>
      </c>
      <c r="L591" s="141"/>
      <c r="M591" s="157" t="e">
        <f>N591-#REF!-#REF!</f>
        <v>#REF!</v>
      </c>
      <c r="N591" s="158">
        <f t="shared" si="51"/>
        <v>0</v>
      </c>
    </row>
    <row r="592" spans="2:14" hidden="1" x14ac:dyDescent="0.25">
      <c r="B592" s="154">
        <v>3</v>
      </c>
      <c r="C592" s="685"/>
      <c r="D592" s="685"/>
      <c r="E592" s="685"/>
      <c r="F592" s="685"/>
      <c r="G592" s="685"/>
      <c r="H592" s="804"/>
      <c r="I592" s="155"/>
      <c r="J592" s="140"/>
      <c r="K592" s="156">
        <f>IF(J592=0,0,(#REF!*I592)/SQRT(J592))</f>
        <v>0</v>
      </c>
      <c r="L592" s="141"/>
      <c r="M592" s="157" t="e">
        <f>N592-#REF!-#REF!</f>
        <v>#REF!</v>
      </c>
      <c r="N592" s="158">
        <f t="shared" si="51"/>
        <v>0</v>
      </c>
    </row>
    <row r="593" spans="2:14" hidden="1" x14ac:dyDescent="0.25">
      <c r="B593" s="154">
        <v>4</v>
      </c>
      <c r="C593" s="685"/>
      <c r="D593" s="685"/>
      <c r="E593" s="685"/>
      <c r="F593" s="685"/>
      <c r="G593" s="685"/>
      <c r="H593" s="804"/>
      <c r="I593" s="155"/>
      <c r="J593" s="140"/>
      <c r="K593" s="156">
        <f>IF(J593=0,0,(#REF!*I593)/SQRT(J593))</f>
        <v>0</v>
      </c>
      <c r="L593" s="141"/>
      <c r="M593" s="157" t="e">
        <f>N593-#REF!-#REF!</f>
        <v>#REF!</v>
      </c>
      <c r="N593" s="158">
        <f t="shared" si="51"/>
        <v>0</v>
      </c>
    </row>
    <row r="594" spans="2:14" hidden="1" x14ac:dyDescent="0.25">
      <c r="B594" s="154">
        <v>5</v>
      </c>
      <c r="C594" s="685"/>
      <c r="D594" s="685"/>
      <c r="E594" s="685"/>
      <c r="F594" s="685"/>
      <c r="G594" s="685"/>
      <c r="H594" s="804"/>
      <c r="I594" s="155"/>
      <c r="J594" s="140"/>
      <c r="K594" s="156">
        <f>IF(J594=0,0,(#REF!*I594)/SQRT(J594))</f>
        <v>0</v>
      </c>
      <c r="L594" s="141"/>
      <c r="M594" s="157" t="e">
        <f>N594-#REF!-#REF!</f>
        <v>#REF!</v>
      </c>
      <c r="N594" s="158">
        <f t="shared" si="51"/>
        <v>0</v>
      </c>
    </row>
    <row r="595" spans="2:14" hidden="1" x14ac:dyDescent="0.25">
      <c r="B595" s="154">
        <v>6</v>
      </c>
      <c r="C595" s="685"/>
      <c r="D595" s="685"/>
      <c r="E595" s="685"/>
      <c r="F595" s="685"/>
      <c r="G595" s="685"/>
      <c r="H595" s="804"/>
      <c r="I595" s="155"/>
      <c r="J595" s="140"/>
      <c r="K595" s="156">
        <f>IF(J595=0,0,(#REF!*I595)/SQRT(J595))</f>
        <v>0</v>
      </c>
      <c r="L595" s="141"/>
      <c r="M595" s="157" t="e">
        <f>N595-#REF!-#REF!</f>
        <v>#REF!</v>
      </c>
      <c r="N595" s="158">
        <f t="shared" si="51"/>
        <v>0</v>
      </c>
    </row>
    <row r="596" spans="2:14" hidden="1" x14ac:dyDescent="0.25">
      <c r="B596" s="154">
        <v>7</v>
      </c>
      <c r="C596" s="685"/>
      <c r="D596" s="685"/>
      <c r="E596" s="685"/>
      <c r="F596" s="685"/>
      <c r="G596" s="685"/>
      <c r="H596" s="804"/>
      <c r="I596" s="155"/>
      <c r="J596" s="140"/>
      <c r="K596" s="156">
        <f>IF(J596=0,0,(#REF!*I596)/SQRT(J596))</f>
        <v>0</v>
      </c>
      <c r="L596" s="141"/>
      <c r="M596" s="157" t="e">
        <f>N596-#REF!-#REF!</f>
        <v>#REF!</v>
      </c>
      <c r="N596" s="158">
        <f t="shared" si="51"/>
        <v>0</v>
      </c>
    </row>
    <row r="597" spans="2:14" hidden="1" x14ac:dyDescent="0.25">
      <c r="B597" s="154">
        <v>8</v>
      </c>
      <c r="C597" s="685"/>
      <c r="D597" s="685"/>
      <c r="E597" s="685"/>
      <c r="F597" s="685"/>
      <c r="G597" s="685"/>
      <c r="H597" s="804"/>
      <c r="I597" s="155"/>
      <c r="J597" s="140"/>
      <c r="K597" s="156">
        <f>IF(J597=0,0,(#REF!*I597)/SQRT(J597))</f>
        <v>0</v>
      </c>
      <c r="L597" s="141"/>
      <c r="M597" s="157" t="e">
        <f>N597-#REF!-#REF!</f>
        <v>#REF!</v>
      </c>
      <c r="N597" s="158">
        <f t="shared" si="51"/>
        <v>0</v>
      </c>
    </row>
    <row r="598" spans="2:14" hidden="1" x14ac:dyDescent="0.25">
      <c r="B598" s="154">
        <v>9</v>
      </c>
      <c r="C598" s="685"/>
      <c r="D598" s="685"/>
      <c r="E598" s="685"/>
      <c r="F598" s="685"/>
      <c r="G598" s="685"/>
      <c r="H598" s="804"/>
      <c r="I598" s="155"/>
      <c r="J598" s="140"/>
      <c r="K598" s="156">
        <f>IF(J598=0,0,(#REF!*I598)/SQRT(J598))</f>
        <v>0</v>
      </c>
      <c r="L598" s="141"/>
      <c r="M598" s="157" t="e">
        <f>N598-#REF!-#REF!</f>
        <v>#REF!</v>
      </c>
      <c r="N598" s="158">
        <f t="shared" si="51"/>
        <v>0</v>
      </c>
    </row>
    <row r="599" spans="2:14" hidden="1" x14ac:dyDescent="0.25">
      <c r="B599" s="154">
        <v>10</v>
      </c>
      <c r="C599" s="685"/>
      <c r="D599" s="685"/>
      <c r="E599" s="685"/>
      <c r="F599" s="685"/>
      <c r="G599" s="685"/>
      <c r="H599" s="804"/>
      <c r="I599" s="155"/>
      <c r="J599" s="140"/>
      <c r="K599" s="156">
        <f>IF(J599=0,0,(#REF!*I599)/SQRT(J599))</f>
        <v>0</v>
      </c>
      <c r="L599" s="141"/>
      <c r="M599" s="157" t="e">
        <f>N599-#REF!-#REF!</f>
        <v>#REF!</v>
      </c>
      <c r="N599" s="158">
        <f t="shared" si="51"/>
        <v>0</v>
      </c>
    </row>
    <row r="600" spans="2:14" hidden="1" x14ac:dyDescent="0.25">
      <c r="B600" s="159"/>
      <c r="C600" s="811" t="s">
        <v>4015</v>
      </c>
      <c r="D600" s="811"/>
      <c r="E600" s="811"/>
      <c r="F600" s="811"/>
      <c r="G600" s="811"/>
      <c r="H600" s="811"/>
      <c r="I600" s="811"/>
      <c r="J600" s="811"/>
      <c r="K600" s="811"/>
      <c r="L600" s="812"/>
      <c r="M600" s="160" t="e">
        <f>SUM(M590:M599)</f>
        <v>#REF!</v>
      </c>
      <c r="N600" s="161">
        <f>SUM(N590:N599)</f>
        <v>0</v>
      </c>
    </row>
    <row r="601" spans="2:14" hidden="1" x14ac:dyDescent="0.25">
      <c r="B601" s="162"/>
      <c r="C601" s="813" t="s">
        <v>4016</v>
      </c>
      <c r="D601" s="813"/>
      <c r="E601" s="813"/>
      <c r="F601" s="813"/>
      <c r="G601" s="813"/>
      <c r="H601" s="813"/>
      <c r="I601" s="813"/>
      <c r="J601" s="813"/>
      <c r="K601" s="813"/>
      <c r="L601" s="814"/>
      <c r="M601" s="163" t="e">
        <f>SUM(M587,M600)</f>
        <v>#REF!</v>
      </c>
      <c r="N601" s="164">
        <f>SUM(N587,N600)</f>
        <v>0</v>
      </c>
    </row>
    <row r="602" spans="2:14" hidden="1" x14ac:dyDescent="0.25">
      <c r="B602" s="772" t="s">
        <v>4035</v>
      </c>
      <c r="C602" s="773"/>
      <c r="D602" s="773"/>
      <c r="E602" s="773"/>
      <c r="F602" s="773"/>
      <c r="G602" s="773"/>
      <c r="H602" s="773"/>
      <c r="I602" s="773"/>
      <c r="J602" s="773"/>
      <c r="K602" s="773"/>
      <c r="L602" s="773"/>
      <c r="M602" s="773"/>
      <c r="N602" s="774"/>
    </row>
    <row r="603" spans="2:14" hidden="1" x14ac:dyDescent="0.25">
      <c r="B603" s="810" t="s">
        <v>3978</v>
      </c>
      <c r="C603" s="810"/>
      <c r="D603" s="810"/>
      <c r="E603" s="810"/>
      <c r="F603" s="810"/>
      <c r="G603" s="810"/>
      <c r="H603" s="810"/>
      <c r="I603" s="810"/>
      <c r="J603" s="810"/>
      <c r="K603" s="810"/>
      <c r="L603" s="810"/>
      <c r="M603" s="810" t="s">
        <v>3909</v>
      </c>
      <c r="N603" s="810"/>
    </row>
    <row r="604" spans="2:14" hidden="1" x14ac:dyDescent="0.25">
      <c r="B604" s="815" t="s">
        <v>3984</v>
      </c>
      <c r="C604" s="816"/>
      <c r="D604" s="816"/>
      <c r="E604" s="816"/>
      <c r="F604" s="816"/>
      <c r="G604" s="816"/>
      <c r="H604" s="817"/>
      <c r="I604" s="151" t="s">
        <v>3985</v>
      </c>
      <c r="J604" s="151" t="s">
        <v>3987</v>
      </c>
      <c r="K604" s="151" t="s">
        <v>4030</v>
      </c>
      <c r="L604" s="151" t="s">
        <v>3981</v>
      </c>
      <c r="M604" s="151" t="s">
        <v>3982</v>
      </c>
      <c r="N604" s="153" t="s">
        <v>3794</v>
      </c>
    </row>
    <row r="605" spans="2:14" hidden="1" x14ac:dyDescent="0.25">
      <c r="B605" s="154">
        <v>1</v>
      </c>
      <c r="C605" s="685"/>
      <c r="D605" s="685"/>
      <c r="E605" s="685"/>
      <c r="F605" s="685"/>
      <c r="G605" s="685"/>
      <c r="H605" s="804"/>
      <c r="I605" s="155"/>
      <c r="J605" s="140"/>
      <c r="K605" s="156">
        <f>IF(J605=0,0,(#REF!*I605)/SQRT(J605))</f>
        <v>0</v>
      </c>
      <c r="L605" s="141"/>
      <c r="M605" s="157" t="e">
        <f>N605-#REF!-#REF!</f>
        <v>#REF!</v>
      </c>
      <c r="N605" s="158">
        <f t="shared" ref="N605:N614" si="52">J605*L605</f>
        <v>0</v>
      </c>
    </row>
    <row r="606" spans="2:14" hidden="1" x14ac:dyDescent="0.25">
      <c r="B606" s="154">
        <v>2</v>
      </c>
      <c r="C606" s="685"/>
      <c r="D606" s="685"/>
      <c r="E606" s="685"/>
      <c r="F606" s="685"/>
      <c r="G606" s="685"/>
      <c r="H606" s="804"/>
      <c r="I606" s="155"/>
      <c r="J606" s="140"/>
      <c r="K606" s="156">
        <f>IF(J606=0,0,(#REF!*I606)/SQRT(J606))</f>
        <v>0</v>
      </c>
      <c r="L606" s="141"/>
      <c r="M606" s="157" t="e">
        <f>N606-#REF!-#REF!</f>
        <v>#REF!</v>
      </c>
      <c r="N606" s="158">
        <f t="shared" si="52"/>
        <v>0</v>
      </c>
    </row>
    <row r="607" spans="2:14" hidden="1" x14ac:dyDescent="0.25">
      <c r="B607" s="154">
        <v>3</v>
      </c>
      <c r="C607" s="685"/>
      <c r="D607" s="685"/>
      <c r="E607" s="685"/>
      <c r="F607" s="685"/>
      <c r="G607" s="685"/>
      <c r="H607" s="804"/>
      <c r="I607" s="155"/>
      <c r="J607" s="140"/>
      <c r="K607" s="156">
        <f>IF(J607=0,0,(#REF!*I607)/SQRT(J607))</f>
        <v>0</v>
      </c>
      <c r="L607" s="141"/>
      <c r="M607" s="157" t="e">
        <f>N607-#REF!-#REF!</f>
        <v>#REF!</v>
      </c>
      <c r="N607" s="158">
        <f t="shared" si="52"/>
        <v>0</v>
      </c>
    </row>
    <row r="608" spans="2:14" hidden="1" x14ac:dyDescent="0.25">
      <c r="B608" s="154">
        <v>4</v>
      </c>
      <c r="C608" s="685"/>
      <c r="D608" s="685"/>
      <c r="E608" s="685"/>
      <c r="F608" s="685"/>
      <c r="G608" s="685"/>
      <c r="H608" s="804"/>
      <c r="I608" s="155"/>
      <c r="J608" s="140"/>
      <c r="K608" s="156">
        <f>IF(J608=0,0,(#REF!*I608)/SQRT(J608))</f>
        <v>0</v>
      </c>
      <c r="L608" s="141"/>
      <c r="M608" s="157" t="e">
        <f>N608-#REF!-#REF!</f>
        <v>#REF!</v>
      </c>
      <c r="N608" s="158">
        <f t="shared" si="52"/>
        <v>0</v>
      </c>
    </row>
    <row r="609" spans="2:14" hidden="1" x14ac:dyDescent="0.25">
      <c r="B609" s="154">
        <v>5</v>
      </c>
      <c r="C609" s="685"/>
      <c r="D609" s="685"/>
      <c r="E609" s="685"/>
      <c r="F609" s="685"/>
      <c r="G609" s="685"/>
      <c r="H609" s="804"/>
      <c r="I609" s="155"/>
      <c r="J609" s="140"/>
      <c r="K609" s="156">
        <f>IF(J609=0,0,(#REF!*I609)/SQRT(J609))</f>
        <v>0</v>
      </c>
      <c r="L609" s="141"/>
      <c r="M609" s="157" t="e">
        <f>N609-#REF!-#REF!</f>
        <v>#REF!</v>
      </c>
      <c r="N609" s="158">
        <f t="shared" si="52"/>
        <v>0</v>
      </c>
    </row>
    <row r="610" spans="2:14" hidden="1" x14ac:dyDescent="0.25">
      <c r="B610" s="154">
        <v>6</v>
      </c>
      <c r="C610" s="685"/>
      <c r="D610" s="685"/>
      <c r="E610" s="685"/>
      <c r="F610" s="685"/>
      <c r="G610" s="685"/>
      <c r="H610" s="804"/>
      <c r="I610" s="155"/>
      <c r="J610" s="140"/>
      <c r="K610" s="156">
        <f>IF(J610=0,0,(#REF!*I610)/SQRT(J610))</f>
        <v>0</v>
      </c>
      <c r="L610" s="141"/>
      <c r="M610" s="157" t="e">
        <f>N610-#REF!-#REF!</f>
        <v>#REF!</v>
      </c>
      <c r="N610" s="158">
        <f t="shared" si="52"/>
        <v>0</v>
      </c>
    </row>
    <row r="611" spans="2:14" hidden="1" x14ac:dyDescent="0.25">
      <c r="B611" s="154">
        <v>7</v>
      </c>
      <c r="C611" s="685"/>
      <c r="D611" s="685"/>
      <c r="E611" s="685"/>
      <c r="F611" s="685"/>
      <c r="G611" s="685"/>
      <c r="H611" s="804"/>
      <c r="I611" s="155"/>
      <c r="J611" s="140"/>
      <c r="K611" s="156">
        <f>IF(J611=0,0,(#REF!*I611)/SQRT(J611))</f>
        <v>0</v>
      </c>
      <c r="L611" s="141"/>
      <c r="M611" s="157" t="e">
        <f>N611-#REF!-#REF!</f>
        <v>#REF!</v>
      </c>
      <c r="N611" s="158">
        <f t="shared" si="52"/>
        <v>0</v>
      </c>
    </row>
    <row r="612" spans="2:14" hidden="1" x14ac:dyDescent="0.25">
      <c r="B612" s="154">
        <v>8</v>
      </c>
      <c r="C612" s="685"/>
      <c r="D612" s="685"/>
      <c r="E612" s="685"/>
      <c r="F612" s="685"/>
      <c r="G612" s="685"/>
      <c r="H612" s="804"/>
      <c r="I612" s="155"/>
      <c r="J612" s="140"/>
      <c r="K612" s="156">
        <f>IF(J612=0,0,(#REF!*I612)/SQRT(J612))</f>
        <v>0</v>
      </c>
      <c r="L612" s="141"/>
      <c r="M612" s="157" t="e">
        <f>N612-#REF!-#REF!</f>
        <v>#REF!</v>
      </c>
      <c r="N612" s="158">
        <f t="shared" si="52"/>
        <v>0</v>
      </c>
    </row>
    <row r="613" spans="2:14" hidden="1" x14ac:dyDescent="0.25">
      <c r="B613" s="154">
        <v>9</v>
      </c>
      <c r="C613" s="685"/>
      <c r="D613" s="685"/>
      <c r="E613" s="685"/>
      <c r="F613" s="685"/>
      <c r="G613" s="685"/>
      <c r="H613" s="804"/>
      <c r="I613" s="155"/>
      <c r="J613" s="140"/>
      <c r="K613" s="156">
        <f>IF(J613=0,0,(#REF!*I613)/SQRT(J613))</f>
        <v>0</v>
      </c>
      <c r="L613" s="141"/>
      <c r="M613" s="157" t="e">
        <f>N613-#REF!-#REF!</f>
        <v>#REF!</v>
      </c>
      <c r="N613" s="158">
        <f t="shared" si="52"/>
        <v>0</v>
      </c>
    </row>
    <row r="614" spans="2:14" hidden="1" x14ac:dyDescent="0.25">
      <c r="B614" s="154">
        <v>10</v>
      </c>
      <c r="C614" s="685"/>
      <c r="D614" s="685"/>
      <c r="E614" s="685"/>
      <c r="F614" s="685"/>
      <c r="G614" s="685"/>
      <c r="H614" s="804"/>
      <c r="I614" s="155"/>
      <c r="J614" s="140"/>
      <c r="K614" s="156">
        <f>IF(J614=0,0,(#REF!*I614)/SQRT(J614))</f>
        <v>0</v>
      </c>
      <c r="L614" s="141"/>
      <c r="M614" s="157" t="e">
        <f>N614-#REF!-#REF!</f>
        <v>#REF!</v>
      </c>
      <c r="N614" s="158">
        <f t="shared" si="52"/>
        <v>0</v>
      </c>
    </row>
    <row r="615" spans="2:14" hidden="1" x14ac:dyDescent="0.25">
      <c r="B615" s="159"/>
      <c r="C615" s="811" t="s">
        <v>4036</v>
      </c>
      <c r="D615" s="811"/>
      <c r="E615" s="811"/>
      <c r="F615" s="811"/>
      <c r="G615" s="811"/>
      <c r="H615" s="811"/>
      <c r="I615" s="811"/>
      <c r="J615" s="811"/>
      <c r="K615" s="811"/>
      <c r="L615" s="812"/>
      <c r="M615" s="160" t="e">
        <f>SUM(M605:M614)</f>
        <v>#REF!</v>
      </c>
      <c r="N615" s="161">
        <f>SUM(N605:N614)</f>
        <v>0</v>
      </c>
    </row>
    <row r="616" spans="2:14" hidden="1" x14ac:dyDescent="0.25">
      <c r="B616" s="810" t="s">
        <v>3989</v>
      </c>
      <c r="C616" s="810"/>
      <c r="D616" s="810"/>
      <c r="E616" s="810"/>
      <c r="F616" s="810"/>
      <c r="G616" s="810"/>
      <c r="H616" s="810"/>
      <c r="I616" s="810"/>
      <c r="J616" s="810"/>
      <c r="K616" s="810"/>
      <c r="L616" s="810"/>
      <c r="M616" s="810" t="s">
        <v>3909</v>
      </c>
      <c r="N616" s="810"/>
    </row>
    <row r="617" spans="2:14" hidden="1" x14ac:dyDescent="0.25">
      <c r="B617" s="815" t="s">
        <v>3984</v>
      </c>
      <c r="C617" s="816"/>
      <c r="D617" s="816"/>
      <c r="E617" s="816"/>
      <c r="F617" s="816"/>
      <c r="G617" s="816"/>
      <c r="H617" s="817"/>
      <c r="I617" s="151" t="s">
        <v>3985</v>
      </c>
      <c r="J617" s="151" t="s">
        <v>3987</v>
      </c>
      <c r="K617" s="151" t="s">
        <v>4030</v>
      </c>
      <c r="L617" s="151" t="s">
        <v>3981</v>
      </c>
      <c r="M617" s="151" t="s">
        <v>3982</v>
      </c>
      <c r="N617" s="153" t="s">
        <v>3794</v>
      </c>
    </row>
    <row r="618" spans="2:14" hidden="1" x14ac:dyDescent="0.25">
      <c r="B618" s="154">
        <v>1</v>
      </c>
      <c r="C618" s="685"/>
      <c r="D618" s="685"/>
      <c r="E618" s="685"/>
      <c r="F618" s="685"/>
      <c r="G618" s="685"/>
      <c r="H618" s="804"/>
      <c r="I618" s="155"/>
      <c r="J618" s="140"/>
      <c r="K618" s="156">
        <f>IF(J618=0,0,(#REF!*I618)/SQRT(J618))</f>
        <v>0</v>
      </c>
      <c r="L618" s="141"/>
      <c r="M618" s="157" t="e">
        <f>N618-#REF!-#REF!</f>
        <v>#REF!</v>
      </c>
      <c r="N618" s="158">
        <f t="shared" ref="N618:N627" si="53">J618*L618</f>
        <v>0</v>
      </c>
    </row>
    <row r="619" spans="2:14" hidden="1" x14ac:dyDescent="0.25">
      <c r="B619" s="154">
        <v>2</v>
      </c>
      <c r="C619" s="685"/>
      <c r="D619" s="685"/>
      <c r="E619" s="685"/>
      <c r="F619" s="685"/>
      <c r="G619" s="685"/>
      <c r="H619" s="804"/>
      <c r="I619" s="155"/>
      <c r="J619" s="140"/>
      <c r="K619" s="156">
        <f>IF(J619=0,0,(#REF!*I619)/SQRT(J619))</f>
        <v>0</v>
      </c>
      <c r="L619" s="141"/>
      <c r="M619" s="157" t="e">
        <f>N619-#REF!-#REF!</f>
        <v>#REF!</v>
      </c>
      <c r="N619" s="158">
        <f t="shared" si="53"/>
        <v>0</v>
      </c>
    </row>
    <row r="620" spans="2:14" hidden="1" x14ac:dyDescent="0.25">
      <c r="B620" s="154">
        <v>3</v>
      </c>
      <c r="C620" s="685"/>
      <c r="D620" s="685"/>
      <c r="E620" s="685"/>
      <c r="F620" s="685"/>
      <c r="G620" s="685"/>
      <c r="H620" s="804"/>
      <c r="I620" s="155"/>
      <c r="J620" s="140"/>
      <c r="K620" s="156">
        <f>IF(J620=0,0,(#REF!*I620)/SQRT(J620))</f>
        <v>0</v>
      </c>
      <c r="L620" s="141"/>
      <c r="M620" s="157" t="e">
        <f>N620-#REF!-#REF!</f>
        <v>#REF!</v>
      </c>
      <c r="N620" s="158">
        <f t="shared" si="53"/>
        <v>0</v>
      </c>
    </row>
    <row r="621" spans="2:14" hidden="1" x14ac:dyDescent="0.25">
      <c r="B621" s="154">
        <v>4</v>
      </c>
      <c r="C621" s="685"/>
      <c r="D621" s="685"/>
      <c r="E621" s="685"/>
      <c r="F621" s="685"/>
      <c r="G621" s="685"/>
      <c r="H621" s="804"/>
      <c r="I621" s="155"/>
      <c r="J621" s="140"/>
      <c r="K621" s="156">
        <f>IF(J621=0,0,(#REF!*I621)/SQRT(J621))</f>
        <v>0</v>
      </c>
      <c r="L621" s="141"/>
      <c r="M621" s="157" t="e">
        <f>N621-#REF!-#REF!</f>
        <v>#REF!</v>
      </c>
      <c r="N621" s="158">
        <f t="shared" si="53"/>
        <v>0</v>
      </c>
    </row>
    <row r="622" spans="2:14" hidden="1" x14ac:dyDescent="0.25">
      <c r="B622" s="154">
        <v>5</v>
      </c>
      <c r="C622" s="685"/>
      <c r="D622" s="685"/>
      <c r="E622" s="685"/>
      <c r="F622" s="685"/>
      <c r="G622" s="685"/>
      <c r="H622" s="804"/>
      <c r="I622" s="155"/>
      <c r="J622" s="140"/>
      <c r="K622" s="156">
        <f>IF(J622=0,0,(#REF!*I622)/SQRT(J622))</f>
        <v>0</v>
      </c>
      <c r="L622" s="141"/>
      <c r="M622" s="157" t="e">
        <f>N622-#REF!-#REF!</f>
        <v>#REF!</v>
      </c>
      <c r="N622" s="158">
        <f t="shared" si="53"/>
        <v>0</v>
      </c>
    </row>
    <row r="623" spans="2:14" hidden="1" x14ac:dyDescent="0.25">
      <c r="B623" s="154">
        <v>6</v>
      </c>
      <c r="C623" s="685"/>
      <c r="D623" s="685"/>
      <c r="E623" s="685"/>
      <c r="F623" s="685"/>
      <c r="G623" s="685"/>
      <c r="H623" s="804"/>
      <c r="I623" s="155"/>
      <c r="J623" s="140"/>
      <c r="K623" s="156">
        <f>IF(J623=0,0,(#REF!*I623)/SQRT(J623))</f>
        <v>0</v>
      </c>
      <c r="L623" s="141"/>
      <c r="M623" s="157" t="e">
        <f>N623-#REF!-#REF!</f>
        <v>#REF!</v>
      </c>
      <c r="N623" s="158">
        <f t="shared" si="53"/>
        <v>0</v>
      </c>
    </row>
    <row r="624" spans="2:14" hidden="1" x14ac:dyDescent="0.25">
      <c r="B624" s="154">
        <v>7</v>
      </c>
      <c r="C624" s="685"/>
      <c r="D624" s="685"/>
      <c r="E624" s="685"/>
      <c r="F624" s="685"/>
      <c r="G624" s="685"/>
      <c r="H624" s="804"/>
      <c r="I624" s="155"/>
      <c r="J624" s="140"/>
      <c r="K624" s="156">
        <f>IF(J624=0,0,(#REF!*I624)/SQRT(J624))</f>
        <v>0</v>
      </c>
      <c r="L624" s="141"/>
      <c r="M624" s="157" t="e">
        <f>N624-#REF!-#REF!</f>
        <v>#REF!</v>
      </c>
      <c r="N624" s="158">
        <f t="shared" si="53"/>
        <v>0</v>
      </c>
    </row>
    <row r="625" spans="2:14" hidden="1" x14ac:dyDescent="0.25">
      <c r="B625" s="154">
        <v>8</v>
      </c>
      <c r="C625" s="685"/>
      <c r="D625" s="685"/>
      <c r="E625" s="685"/>
      <c r="F625" s="685"/>
      <c r="G625" s="685"/>
      <c r="H625" s="804"/>
      <c r="I625" s="155"/>
      <c r="J625" s="140"/>
      <c r="K625" s="156">
        <f>IF(J625=0,0,(#REF!*I625)/SQRT(J625))</f>
        <v>0</v>
      </c>
      <c r="L625" s="141"/>
      <c r="M625" s="157" t="e">
        <f>N625-#REF!-#REF!</f>
        <v>#REF!</v>
      </c>
      <c r="N625" s="158">
        <f t="shared" si="53"/>
        <v>0</v>
      </c>
    </row>
    <row r="626" spans="2:14" hidden="1" x14ac:dyDescent="0.25">
      <c r="B626" s="154">
        <v>9</v>
      </c>
      <c r="C626" s="685"/>
      <c r="D626" s="685"/>
      <c r="E626" s="685"/>
      <c r="F626" s="685"/>
      <c r="G626" s="685"/>
      <c r="H626" s="804"/>
      <c r="I626" s="155"/>
      <c r="J626" s="140"/>
      <c r="K626" s="156">
        <f>IF(J626=0,0,(#REF!*I626)/SQRT(J626))</f>
        <v>0</v>
      </c>
      <c r="L626" s="141"/>
      <c r="M626" s="157" t="e">
        <f>N626-#REF!-#REF!</f>
        <v>#REF!</v>
      </c>
      <c r="N626" s="158">
        <f t="shared" si="53"/>
        <v>0</v>
      </c>
    </row>
    <row r="627" spans="2:14" hidden="1" x14ac:dyDescent="0.25">
      <c r="B627" s="154">
        <v>10</v>
      </c>
      <c r="C627" s="685"/>
      <c r="D627" s="685"/>
      <c r="E627" s="685"/>
      <c r="F627" s="685"/>
      <c r="G627" s="685"/>
      <c r="H627" s="804"/>
      <c r="I627" s="155"/>
      <c r="J627" s="140"/>
      <c r="K627" s="156">
        <f>IF(J627=0,0,(#REF!*I627)/SQRT(J627))</f>
        <v>0</v>
      </c>
      <c r="L627" s="141"/>
      <c r="M627" s="157" t="e">
        <f>N627-#REF!-#REF!</f>
        <v>#REF!</v>
      </c>
      <c r="N627" s="158">
        <f t="shared" si="53"/>
        <v>0</v>
      </c>
    </row>
    <row r="628" spans="2:14" hidden="1" x14ac:dyDescent="0.25">
      <c r="B628" s="159"/>
      <c r="C628" s="811" t="s">
        <v>4037</v>
      </c>
      <c r="D628" s="811"/>
      <c r="E628" s="811"/>
      <c r="F628" s="811"/>
      <c r="G628" s="811"/>
      <c r="H628" s="811"/>
      <c r="I628" s="811"/>
      <c r="J628" s="811"/>
      <c r="K628" s="811"/>
      <c r="L628" s="812"/>
      <c r="M628" s="160" t="e">
        <f>SUM(M618:M627)</f>
        <v>#REF!</v>
      </c>
      <c r="N628" s="161">
        <f>SUM(N618:N627)</f>
        <v>0</v>
      </c>
    </row>
    <row r="629" spans="2:14" hidden="1" x14ac:dyDescent="0.25">
      <c r="B629" s="162"/>
      <c r="C629" s="813" t="s">
        <v>4038</v>
      </c>
      <c r="D629" s="813"/>
      <c r="E629" s="813"/>
      <c r="F629" s="813"/>
      <c r="G629" s="813"/>
      <c r="H629" s="813"/>
      <c r="I629" s="813"/>
      <c r="J629" s="813"/>
      <c r="K629" s="813"/>
      <c r="L629" s="814"/>
      <c r="M629" s="163" t="e">
        <f>SUM(M615,M628)</f>
        <v>#REF!</v>
      </c>
      <c r="N629" s="164">
        <f>SUM(N615,N628)</f>
        <v>0</v>
      </c>
    </row>
    <row r="630" spans="2:14" hidden="1" x14ac:dyDescent="0.25">
      <c r="B630" s="772" t="s">
        <v>4039</v>
      </c>
      <c r="C630" s="773"/>
      <c r="D630" s="773"/>
      <c r="E630" s="773"/>
      <c r="F630" s="773"/>
      <c r="G630" s="773"/>
      <c r="H630" s="773"/>
      <c r="I630" s="773"/>
      <c r="J630" s="773"/>
      <c r="K630" s="773"/>
      <c r="L630" s="773"/>
      <c r="M630" s="773"/>
      <c r="N630" s="774"/>
    </row>
    <row r="631" spans="2:14" hidden="1" x14ac:dyDescent="0.25">
      <c r="B631" s="810" t="s">
        <v>3978</v>
      </c>
      <c r="C631" s="810"/>
      <c r="D631" s="810"/>
      <c r="E631" s="810"/>
      <c r="F631" s="810"/>
      <c r="G631" s="810"/>
      <c r="H631" s="810"/>
      <c r="I631" s="810"/>
      <c r="J631" s="810"/>
      <c r="K631" s="810"/>
      <c r="L631" s="810"/>
      <c r="M631" s="810" t="s">
        <v>3909</v>
      </c>
      <c r="N631" s="810"/>
    </row>
    <row r="632" spans="2:14" hidden="1" x14ac:dyDescent="0.25">
      <c r="B632" s="815" t="s">
        <v>3984</v>
      </c>
      <c r="C632" s="816"/>
      <c r="D632" s="816"/>
      <c r="E632" s="816"/>
      <c r="F632" s="816"/>
      <c r="G632" s="816"/>
      <c r="H632" s="817"/>
      <c r="I632" s="151" t="s">
        <v>3985</v>
      </c>
      <c r="J632" s="151" t="s">
        <v>3987</v>
      </c>
      <c r="K632" s="151" t="s">
        <v>4030</v>
      </c>
      <c r="L632" s="151" t="s">
        <v>3981</v>
      </c>
      <c r="M632" s="151" t="s">
        <v>3982</v>
      </c>
      <c r="N632" s="153" t="s">
        <v>3794</v>
      </c>
    </row>
    <row r="633" spans="2:14" hidden="1" x14ac:dyDescent="0.25">
      <c r="B633" s="154">
        <v>1</v>
      </c>
      <c r="C633" s="685"/>
      <c r="D633" s="685"/>
      <c r="E633" s="685"/>
      <c r="F633" s="685"/>
      <c r="G633" s="685"/>
      <c r="H633" s="804"/>
      <c r="I633" s="155"/>
      <c r="J633" s="140"/>
      <c r="K633" s="156">
        <f>IF(J633=0,0,(#REF!*I633)/SQRT(J633))</f>
        <v>0</v>
      </c>
      <c r="L633" s="141"/>
      <c r="M633" s="157" t="e">
        <f>N633-#REF!-#REF!</f>
        <v>#REF!</v>
      </c>
      <c r="N633" s="158">
        <f t="shared" ref="N633:N642" si="54">J633*L633</f>
        <v>0</v>
      </c>
    </row>
    <row r="634" spans="2:14" hidden="1" x14ac:dyDescent="0.25">
      <c r="B634" s="154">
        <v>2</v>
      </c>
      <c r="C634" s="685"/>
      <c r="D634" s="685"/>
      <c r="E634" s="685"/>
      <c r="F634" s="685"/>
      <c r="G634" s="685"/>
      <c r="H634" s="804"/>
      <c r="I634" s="155"/>
      <c r="J634" s="140"/>
      <c r="K634" s="156">
        <f>IF(J634=0,0,(#REF!*I634)/SQRT(J634))</f>
        <v>0</v>
      </c>
      <c r="L634" s="141"/>
      <c r="M634" s="157" t="e">
        <f>N634-#REF!-#REF!</f>
        <v>#REF!</v>
      </c>
      <c r="N634" s="158">
        <f t="shared" si="54"/>
        <v>0</v>
      </c>
    </row>
    <row r="635" spans="2:14" hidden="1" x14ac:dyDescent="0.25">
      <c r="B635" s="154">
        <v>3</v>
      </c>
      <c r="C635" s="685"/>
      <c r="D635" s="685"/>
      <c r="E635" s="685"/>
      <c r="F635" s="685"/>
      <c r="G635" s="685"/>
      <c r="H635" s="804"/>
      <c r="I635" s="155"/>
      <c r="J635" s="140"/>
      <c r="K635" s="156">
        <f>IF(J635=0,0,(#REF!*I635)/SQRT(J635))</f>
        <v>0</v>
      </c>
      <c r="L635" s="141"/>
      <c r="M635" s="157" t="e">
        <f>N635-#REF!-#REF!</f>
        <v>#REF!</v>
      </c>
      <c r="N635" s="158">
        <f t="shared" si="54"/>
        <v>0</v>
      </c>
    </row>
    <row r="636" spans="2:14" hidden="1" x14ac:dyDescent="0.25">
      <c r="B636" s="154">
        <v>4</v>
      </c>
      <c r="C636" s="685"/>
      <c r="D636" s="685"/>
      <c r="E636" s="685"/>
      <c r="F636" s="685"/>
      <c r="G636" s="685"/>
      <c r="H636" s="804"/>
      <c r="I636" s="155"/>
      <c r="J636" s="140"/>
      <c r="K636" s="156">
        <f>IF(J636=0,0,(#REF!*I636)/SQRT(J636))</f>
        <v>0</v>
      </c>
      <c r="L636" s="141"/>
      <c r="M636" s="157" t="e">
        <f>N636-#REF!-#REF!</f>
        <v>#REF!</v>
      </c>
      <c r="N636" s="158">
        <f t="shared" si="54"/>
        <v>0</v>
      </c>
    </row>
    <row r="637" spans="2:14" hidden="1" x14ac:dyDescent="0.25">
      <c r="B637" s="154">
        <v>5</v>
      </c>
      <c r="C637" s="685"/>
      <c r="D637" s="685"/>
      <c r="E637" s="685"/>
      <c r="F637" s="685"/>
      <c r="G637" s="685"/>
      <c r="H637" s="804"/>
      <c r="I637" s="155"/>
      <c r="J637" s="140"/>
      <c r="K637" s="156">
        <f>IF(J637=0,0,(#REF!*I637)/SQRT(J637))</f>
        <v>0</v>
      </c>
      <c r="L637" s="141"/>
      <c r="M637" s="157" t="e">
        <f>N637-#REF!-#REF!</f>
        <v>#REF!</v>
      </c>
      <c r="N637" s="158">
        <f t="shared" si="54"/>
        <v>0</v>
      </c>
    </row>
    <row r="638" spans="2:14" hidden="1" x14ac:dyDescent="0.25">
      <c r="B638" s="154">
        <v>6</v>
      </c>
      <c r="C638" s="685"/>
      <c r="D638" s="685"/>
      <c r="E638" s="685"/>
      <c r="F638" s="685"/>
      <c r="G638" s="685"/>
      <c r="H638" s="804"/>
      <c r="I638" s="155"/>
      <c r="J638" s="140"/>
      <c r="K638" s="156">
        <f>IF(J638=0,0,(#REF!*I638)/SQRT(J638))</f>
        <v>0</v>
      </c>
      <c r="L638" s="141"/>
      <c r="M638" s="157" t="e">
        <f>N638-#REF!-#REF!</f>
        <v>#REF!</v>
      </c>
      <c r="N638" s="158">
        <f t="shared" si="54"/>
        <v>0</v>
      </c>
    </row>
    <row r="639" spans="2:14" hidden="1" x14ac:dyDescent="0.25">
      <c r="B639" s="154">
        <v>7</v>
      </c>
      <c r="C639" s="685"/>
      <c r="D639" s="685"/>
      <c r="E639" s="685"/>
      <c r="F639" s="685"/>
      <c r="G639" s="685"/>
      <c r="H639" s="804"/>
      <c r="I639" s="155"/>
      <c r="J639" s="140"/>
      <c r="K639" s="156">
        <f>IF(J639=0,0,(#REF!*I639)/SQRT(J639))</f>
        <v>0</v>
      </c>
      <c r="L639" s="141"/>
      <c r="M639" s="157" t="e">
        <f>N639-#REF!-#REF!</f>
        <v>#REF!</v>
      </c>
      <c r="N639" s="158">
        <f t="shared" si="54"/>
        <v>0</v>
      </c>
    </row>
    <row r="640" spans="2:14" hidden="1" x14ac:dyDescent="0.25">
      <c r="B640" s="154">
        <v>8</v>
      </c>
      <c r="C640" s="685"/>
      <c r="D640" s="685"/>
      <c r="E640" s="685"/>
      <c r="F640" s="685"/>
      <c r="G640" s="685"/>
      <c r="H640" s="804"/>
      <c r="I640" s="155"/>
      <c r="J640" s="140"/>
      <c r="K640" s="156">
        <f>IF(J640=0,0,(#REF!*I640)/SQRT(J640))</f>
        <v>0</v>
      </c>
      <c r="L640" s="141"/>
      <c r="M640" s="157" t="e">
        <f>N640-#REF!-#REF!</f>
        <v>#REF!</v>
      </c>
      <c r="N640" s="158">
        <f t="shared" si="54"/>
        <v>0</v>
      </c>
    </row>
    <row r="641" spans="2:14" hidden="1" x14ac:dyDescent="0.25">
      <c r="B641" s="154">
        <v>9</v>
      </c>
      <c r="C641" s="685"/>
      <c r="D641" s="685"/>
      <c r="E641" s="685"/>
      <c r="F641" s="685"/>
      <c r="G641" s="685"/>
      <c r="H641" s="804"/>
      <c r="I641" s="155"/>
      <c r="J641" s="140"/>
      <c r="K641" s="156">
        <f>IF(J641=0,0,(#REF!*I641)/SQRT(J641))</f>
        <v>0</v>
      </c>
      <c r="L641" s="141"/>
      <c r="M641" s="157" t="e">
        <f>N641-#REF!-#REF!</f>
        <v>#REF!</v>
      </c>
      <c r="N641" s="158">
        <f t="shared" si="54"/>
        <v>0</v>
      </c>
    </row>
    <row r="642" spans="2:14" hidden="1" x14ac:dyDescent="0.25">
      <c r="B642" s="154">
        <v>10</v>
      </c>
      <c r="C642" s="685"/>
      <c r="D642" s="685"/>
      <c r="E642" s="685"/>
      <c r="F642" s="685"/>
      <c r="G642" s="685"/>
      <c r="H642" s="804"/>
      <c r="I642" s="155"/>
      <c r="J642" s="140"/>
      <c r="K642" s="156">
        <f>IF(J642=0,0,(#REF!*I642)/SQRT(J642))</f>
        <v>0</v>
      </c>
      <c r="L642" s="141"/>
      <c r="M642" s="157" t="e">
        <f>N642-#REF!-#REF!</f>
        <v>#REF!</v>
      </c>
      <c r="N642" s="158">
        <f t="shared" si="54"/>
        <v>0</v>
      </c>
    </row>
    <row r="643" spans="2:14" hidden="1" x14ac:dyDescent="0.25">
      <c r="B643" s="159"/>
      <c r="C643" s="811" t="s">
        <v>4023</v>
      </c>
      <c r="D643" s="811"/>
      <c r="E643" s="811"/>
      <c r="F643" s="811"/>
      <c r="G643" s="811"/>
      <c r="H643" s="811"/>
      <c r="I643" s="811"/>
      <c r="J643" s="811"/>
      <c r="K643" s="811"/>
      <c r="L643" s="812"/>
      <c r="M643" s="160" t="e">
        <f>SUM(M633:M642)</f>
        <v>#REF!</v>
      </c>
      <c r="N643" s="161">
        <f>SUM(N633:N642)</f>
        <v>0</v>
      </c>
    </row>
    <row r="644" spans="2:14" hidden="1" x14ac:dyDescent="0.25">
      <c r="B644" s="810" t="s">
        <v>3989</v>
      </c>
      <c r="C644" s="810"/>
      <c r="D644" s="810"/>
      <c r="E644" s="810"/>
      <c r="F644" s="810"/>
      <c r="G644" s="810"/>
      <c r="H644" s="810"/>
      <c r="I644" s="810"/>
      <c r="J644" s="810"/>
      <c r="K644" s="810"/>
      <c r="L644" s="810"/>
      <c r="M644" s="810" t="s">
        <v>3909</v>
      </c>
      <c r="N644" s="810"/>
    </row>
    <row r="645" spans="2:14" hidden="1" x14ac:dyDescent="0.25">
      <c r="B645" s="815" t="s">
        <v>3984</v>
      </c>
      <c r="C645" s="816"/>
      <c r="D645" s="816"/>
      <c r="E645" s="816"/>
      <c r="F645" s="816"/>
      <c r="G645" s="816"/>
      <c r="H645" s="817"/>
      <c r="I645" s="151" t="s">
        <v>3985</v>
      </c>
      <c r="J645" s="151" t="s">
        <v>3987</v>
      </c>
      <c r="K645" s="151" t="s">
        <v>4030</v>
      </c>
      <c r="L645" s="151" t="s">
        <v>3981</v>
      </c>
      <c r="M645" s="151" t="s">
        <v>3982</v>
      </c>
      <c r="N645" s="153" t="s">
        <v>3794</v>
      </c>
    </row>
    <row r="646" spans="2:14" hidden="1" x14ac:dyDescent="0.25">
      <c r="B646" s="154">
        <v>1</v>
      </c>
      <c r="C646" s="685"/>
      <c r="D646" s="685"/>
      <c r="E646" s="685"/>
      <c r="F646" s="685"/>
      <c r="G646" s="685"/>
      <c r="H646" s="804"/>
      <c r="I646" s="155"/>
      <c r="J646" s="140"/>
      <c r="K646" s="156">
        <f>IF(J646=0,0,(#REF!*I646)/SQRT(J646))</f>
        <v>0</v>
      </c>
      <c r="L646" s="141"/>
      <c r="M646" s="157" t="e">
        <f>N646-#REF!-#REF!</f>
        <v>#REF!</v>
      </c>
      <c r="N646" s="158">
        <f t="shared" ref="N646:N655" si="55">J646*L646</f>
        <v>0</v>
      </c>
    </row>
    <row r="647" spans="2:14" hidden="1" x14ac:dyDescent="0.25">
      <c r="B647" s="154">
        <v>2</v>
      </c>
      <c r="C647" s="685"/>
      <c r="D647" s="685"/>
      <c r="E647" s="685"/>
      <c r="F647" s="685"/>
      <c r="G647" s="685"/>
      <c r="H647" s="804"/>
      <c r="I647" s="155"/>
      <c r="J647" s="140"/>
      <c r="K647" s="156">
        <f>IF(J647=0,0,(#REF!*I647)/SQRT(J647))</f>
        <v>0</v>
      </c>
      <c r="L647" s="141"/>
      <c r="M647" s="157" t="e">
        <f>N647-#REF!-#REF!</f>
        <v>#REF!</v>
      </c>
      <c r="N647" s="158">
        <f t="shared" si="55"/>
        <v>0</v>
      </c>
    </row>
    <row r="648" spans="2:14" hidden="1" x14ac:dyDescent="0.25">
      <c r="B648" s="154">
        <v>3</v>
      </c>
      <c r="C648" s="685"/>
      <c r="D648" s="685"/>
      <c r="E648" s="685"/>
      <c r="F648" s="685"/>
      <c r="G648" s="685"/>
      <c r="H648" s="804"/>
      <c r="I648" s="155"/>
      <c r="J648" s="140"/>
      <c r="K648" s="156">
        <f>IF(J648=0,0,(#REF!*I648)/SQRT(J648))</f>
        <v>0</v>
      </c>
      <c r="L648" s="141"/>
      <c r="M648" s="157" t="e">
        <f>N648-#REF!-#REF!</f>
        <v>#REF!</v>
      </c>
      <c r="N648" s="158">
        <f t="shared" si="55"/>
        <v>0</v>
      </c>
    </row>
    <row r="649" spans="2:14" hidden="1" x14ac:dyDescent="0.25">
      <c r="B649" s="154">
        <v>4</v>
      </c>
      <c r="C649" s="685"/>
      <c r="D649" s="685"/>
      <c r="E649" s="685"/>
      <c r="F649" s="685"/>
      <c r="G649" s="685"/>
      <c r="H649" s="804"/>
      <c r="I649" s="155"/>
      <c r="J649" s="140"/>
      <c r="K649" s="156">
        <f>IF(J649=0,0,(#REF!*I649)/SQRT(J649))</f>
        <v>0</v>
      </c>
      <c r="L649" s="141"/>
      <c r="M649" s="157" t="e">
        <f>N649-#REF!-#REF!</f>
        <v>#REF!</v>
      </c>
      <c r="N649" s="158">
        <f t="shared" si="55"/>
        <v>0</v>
      </c>
    </row>
    <row r="650" spans="2:14" hidden="1" x14ac:dyDescent="0.25">
      <c r="B650" s="154">
        <v>5</v>
      </c>
      <c r="C650" s="685"/>
      <c r="D650" s="685"/>
      <c r="E650" s="685"/>
      <c r="F650" s="685"/>
      <c r="G650" s="685"/>
      <c r="H650" s="804"/>
      <c r="I650" s="155"/>
      <c r="J650" s="140"/>
      <c r="K650" s="156">
        <f>IF(J650=0,0,(#REF!*I650)/SQRT(J650))</f>
        <v>0</v>
      </c>
      <c r="L650" s="141"/>
      <c r="M650" s="157" t="e">
        <f>N650-#REF!-#REF!</f>
        <v>#REF!</v>
      </c>
      <c r="N650" s="158">
        <f t="shared" si="55"/>
        <v>0</v>
      </c>
    </row>
    <row r="651" spans="2:14" hidden="1" x14ac:dyDescent="0.25">
      <c r="B651" s="154">
        <v>6</v>
      </c>
      <c r="C651" s="685"/>
      <c r="D651" s="685"/>
      <c r="E651" s="685"/>
      <c r="F651" s="685"/>
      <c r="G651" s="685"/>
      <c r="H651" s="804"/>
      <c r="I651" s="155"/>
      <c r="J651" s="140"/>
      <c r="K651" s="156">
        <f>IF(J651=0,0,(#REF!*I651)/SQRT(J651))</f>
        <v>0</v>
      </c>
      <c r="L651" s="141"/>
      <c r="M651" s="157" t="e">
        <f>N651-#REF!-#REF!</f>
        <v>#REF!</v>
      </c>
      <c r="N651" s="158">
        <f t="shared" si="55"/>
        <v>0</v>
      </c>
    </row>
    <row r="652" spans="2:14" hidden="1" x14ac:dyDescent="0.25">
      <c r="B652" s="154">
        <v>7</v>
      </c>
      <c r="C652" s="685"/>
      <c r="D652" s="685"/>
      <c r="E652" s="685"/>
      <c r="F652" s="685"/>
      <c r="G652" s="685"/>
      <c r="H652" s="804"/>
      <c r="I652" s="155"/>
      <c r="J652" s="140"/>
      <c r="K652" s="156">
        <f>IF(J652=0,0,(#REF!*I652)/SQRT(J652))</f>
        <v>0</v>
      </c>
      <c r="L652" s="141"/>
      <c r="M652" s="157" t="e">
        <f>N652-#REF!-#REF!</f>
        <v>#REF!</v>
      </c>
      <c r="N652" s="158">
        <f t="shared" si="55"/>
        <v>0</v>
      </c>
    </row>
    <row r="653" spans="2:14" hidden="1" x14ac:dyDescent="0.25">
      <c r="B653" s="154">
        <v>8</v>
      </c>
      <c r="C653" s="685"/>
      <c r="D653" s="685"/>
      <c r="E653" s="685"/>
      <c r="F653" s="685"/>
      <c r="G653" s="685"/>
      <c r="H653" s="804"/>
      <c r="I653" s="155"/>
      <c r="J653" s="140"/>
      <c r="K653" s="156">
        <f>IF(J653=0,0,(#REF!*I653)/SQRT(J653))</f>
        <v>0</v>
      </c>
      <c r="L653" s="141"/>
      <c r="M653" s="157" t="e">
        <f>N653-#REF!-#REF!</f>
        <v>#REF!</v>
      </c>
      <c r="N653" s="158">
        <f t="shared" si="55"/>
        <v>0</v>
      </c>
    </row>
    <row r="654" spans="2:14" hidden="1" x14ac:dyDescent="0.25">
      <c r="B654" s="154">
        <v>9</v>
      </c>
      <c r="C654" s="685"/>
      <c r="D654" s="685"/>
      <c r="E654" s="685"/>
      <c r="F654" s="685"/>
      <c r="G654" s="685"/>
      <c r="H654" s="804"/>
      <c r="I654" s="155"/>
      <c r="J654" s="140"/>
      <c r="K654" s="156">
        <f>IF(J654=0,0,(#REF!*I654)/SQRT(J654))</f>
        <v>0</v>
      </c>
      <c r="L654" s="141"/>
      <c r="M654" s="157" t="e">
        <f>N654-#REF!-#REF!</f>
        <v>#REF!</v>
      </c>
      <c r="N654" s="158">
        <f t="shared" si="55"/>
        <v>0</v>
      </c>
    </row>
    <row r="655" spans="2:14" hidden="1" x14ac:dyDescent="0.25">
      <c r="B655" s="154">
        <v>10</v>
      </c>
      <c r="C655" s="685"/>
      <c r="D655" s="685"/>
      <c r="E655" s="685"/>
      <c r="F655" s="685"/>
      <c r="G655" s="685"/>
      <c r="H655" s="804"/>
      <c r="I655" s="155"/>
      <c r="J655" s="140"/>
      <c r="K655" s="156">
        <f>IF(J655=0,0,(#REF!*I655)/SQRT(J655))</f>
        <v>0</v>
      </c>
      <c r="L655" s="141"/>
      <c r="M655" s="157" t="e">
        <f>N655-#REF!-#REF!</f>
        <v>#REF!</v>
      </c>
      <c r="N655" s="158">
        <f t="shared" si="55"/>
        <v>0</v>
      </c>
    </row>
    <row r="656" spans="2:14" hidden="1" x14ac:dyDescent="0.25">
      <c r="B656" s="159"/>
      <c r="C656" s="811" t="s">
        <v>4025</v>
      </c>
      <c r="D656" s="811"/>
      <c r="E656" s="811"/>
      <c r="F656" s="811"/>
      <c r="G656" s="811"/>
      <c r="H656" s="811"/>
      <c r="I656" s="811"/>
      <c r="J656" s="811"/>
      <c r="K656" s="811"/>
      <c r="L656" s="812"/>
      <c r="M656" s="160" t="e">
        <f>SUM(M646:M655)</f>
        <v>#REF!</v>
      </c>
      <c r="N656" s="161">
        <f>SUM(N646:N655)</f>
        <v>0</v>
      </c>
    </row>
    <row r="657" spans="2:14" hidden="1" x14ac:dyDescent="0.25">
      <c r="B657" s="162"/>
      <c r="C657" s="813" t="s">
        <v>4026</v>
      </c>
      <c r="D657" s="813"/>
      <c r="E657" s="813"/>
      <c r="F657" s="813"/>
      <c r="G657" s="813"/>
      <c r="H657" s="813"/>
      <c r="I657" s="813"/>
      <c r="J657" s="813"/>
      <c r="K657" s="813"/>
      <c r="L657" s="814"/>
      <c r="M657" s="163" t="e">
        <f>SUM(M643,M656)</f>
        <v>#REF!</v>
      </c>
      <c r="N657" s="164">
        <f>SUM(N643,N656)</f>
        <v>0</v>
      </c>
    </row>
    <row r="658" spans="2:14" hidden="1" x14ac:dyDescent="0.25">
      <c r="B658" s="165"/>
      <c r="C658" s="818" t="s">
        <v>4040</v>
      </c>
      <c r="D658" s="818"/>
      <c r="E658" s="818"/>
      <c r="F658" s="818"/>
      <c r="G658" s="818"/>
      <c r="H658" s="818"/>
      <c r="I658" s="818"/>
      <c r="J658" s="818"/>
      <c r="K658" s="818"/>
      <c r="L658" s="819"/>
      <c r="M658" s="166" t="e">
        <f>SUM(M489,M517,M545,M573,M601,M629,M657)</f>
        <v>#REF!</v>
      </c>
      <c r="N658" s="166">
        <f>SUM(N489,N517,N545,N573,N601,N629,N657)</f>
        <v>0</v>
      </c>
    </row>
  </sheetData>
  <sheetProtection algorithmName="SHA-512" hashValue="0n7g99CIer0y8EtNzmjGXW0x4U4Q3x7BD+c7haTAGqwdcGJ9ROMqAovacIF1KsIJ8fskCw9q3ow/ek9BBDiQiA==" saltValue="Ws5w3PoEtx7c5xAhxC3Q4w==" spinCount="100000" sheet="1" objects="1" scenarios="1"/>
  <dataConsolidate/>
  <mergeCells count="677">
    <mergeCell ref="C378:H378"/>
    <mergeCell ref="C379:H379"/>
    <mergeCell ref="C375:H375"/>
    <mergeCell ref="C376:H376"/>
    <mergeCell ref="C397:H397"/>
    <mergeCell ref="C398:H398"/>
    <mergeCell ref="C385:H385"/>
    <mergeCell ref="C386:H386"/>
    <mergeCell ref="C387:H387"/>
    <mergeCell ref="C388:H388"/>
    <mergeCell ref="C390:H390"/>
    <mergeCell ref="C391:H391"/>
    <mergeCell ref="C392:H392"/>
    <mergeCell ref="C393:H393"/>
    <mergeCell ref="C394:H394"/>
    <mergeCell ref="C395:H395"/>
    <mergeCell ref="C396:H396"/>
    <mergeCell ref="B382:J382"/>
    <mergeCell ref="B383:J383"/>
    <mergeCell ref="B384:H384"/>
    <mergeCell ref="C367:H367"/>
    <mergeCell ref="C368:H368"/>
    <mergeCell ref="C369:H369"/>
    <mergeCell ref="C370:H370"/>
    <mergeCell ref="C371:H371"/>
    <mergeCell ref="C372:H372"/>
    <mergeCell ref="C373:H373"/>
    <mergeCell ref="C374:H374"/>
    <mergeCell ref="C377:H377"/>
    <mergeCell ref="C358:H358"/>
    <mergeCell ref="C359:H359"/>
    <mergeCell ref="C360:H360"/>
    <mergeCell ref="C361:H361"/>
    <mergeCell ref="C362:H362"/>
    <mergeCell ref="C363:H363"/>
    <mergeCell ref="C364:H364"/>
    <mergeCell ref="C365:H365"/>
    <mergeCell ref="C366:H366"/>
    <mergeCell ref="B346:L346"/>
    <mergeCell ref="C350:H350"/>
    <mergeCell ref="C351:H351"/>
    <mergeCell ref="C352:H352"/>
    <mergeCell ref="C353:H353"/>
    <mergeCell ref="C354:H354"/>
    <mergeCell ref="C355:H355"/>
    <mergeCell ref="C356:H356"/>
    <mergeCell ref="C357:H357"/>
    <mergeCell ref="B347:J347"/>
    <mergeCell ref="B348:J348"/>
    <mergeCell ref="B349:H349"/>
    <mergeCell ref="C255:L255"/>
    <mergeCell ref="C263:H263"/>
    <mergeCell ref="C264:H264"/>
    <mergeCell ref="B257:L257"/>
    <mergeCell ref="C280:H280"/>
    <mergeCell ref="C265:H265"/>
    <mergeCell ref="C266:H266"/>
    <mergeCell ref="C267:H267"/>
    <mergeCell ref="C268:H268"/>
    <mergeCell ref="C269:H269"/>
    <mergeCell ref="C270:H270"/>
    <mergeCell ref="C271:H271"/>
    <mergeCell ref="C274:H274"/>
    <mergeCell ref="C275:H275"/>
    <mergeCell ref="C276:H276"/>
    <mergeCell ref="C277:H277"/>
    <mergeCell ref="C278:H278"/>
    <mergeCell ref="C279:H279"/>
    <mergeCell ref="C272:H272"/>
    <mergeCell ref="C273:H273"/>
    <mergeCell ref="B258:J258"/>
    <mergeCell ref="B259:J259"/>
    <mergeCell ref="B260:H260"/>
    <mergeCell ref="C159:H159"/>
    <mergeCell ref="C160:H160"/>
    <mergeCell ref="C174:H174"/>
    <mergeCell ref="C175:H175"/>
    <mergeCell ref="C176:H176"/>
    <mergeCell ref="C182:H182"/>
    <mergeCell ref="C183:H183"/>
    <mergeCell ref="C184:H184"/>
    <mergeCell ref="C185:H185"/>
    <mergeCell ref="B180:J180"/>
    <mergeCell ref="B181:H181"/>
    <mergeCell ref="C177:L177"/>
    <mergeCell ref="C161:H161"/>
    <mergeCell ref="C162:H162"/>
    <mergeCell ref="B178:L178"/>
    <mergeCell ref="C172:H172"/>
    <mergeCell ref="C173:H173"/>
    <mergeCell ref="C163:H163"/>
    <mergeCell ref="C164:H164"/>
    <mergeCell ref="C165:H165"/>
    <mergeCell ref="C166:H166"/>
    <mergeCell ref="C167:H167"/>
    <mergeCell ref="C168:H168"/>
    <mergeCell ref="C169:H169"/>
    <mergeCell ref="C77:H77"/>
    <mergeCell ref="C78:L78"/>
    <mergeCell ref="C105:H105"/>
    <mergeCell ref="C106:H106"/>
    <mergeCell ref="C89:H89"/>
    <mergeCell ref="C90:H90"/>
    <mergeCell ref="C91:H91"/>
    <mergeCell ref="C92:H92"/>
    <mergeCell ref="C93:H93"/>
    <mergeCell ref="C94:H94"/>
    <mergeCell ref="C95:H95"/>
    <mergeCell ref="C96:H96"/>
    <mergeCell ref="C98:H98"/>
    <mergeCell ref="C99:H99"/>
    <mergeCell ref="C100:H100"/>
    <mergeCell ref="C101:H101"/>
    <mergeCell ref="C102:H102"/>
    <mergeCell ref="C103:H103"/>
    <mergeCell ref="C104:H104"/>
    <mergeCell ref="B84:H84"/>
    <mergeCell ref="B82:J82"/>
    <mergeCell ref="B83:J83"/>
    <mergeCell ref="C75:H75"/>
    <mergeCell ref="C76:H76"/>
    <mergeCell ref="C48:H48"/>
    <mergeCell ref="C49:H49"/>
    <mergeCell ref="C50:H50"/>
    <mergeCell ref="C51:H51"/>
    <mergeCell ref="C52:H52"/>
    <mergeCell ref="C54:H54"/>
    <mergeCell ref="C55:H55"/>
    <mergeCell ref="C66:H66"/>
    <mergeCell ref="C67:H67"/>
    <mergeCell ref="C497:H497"/>
    <mergeCell ref="C498:H498"/>
    <mergeCell ref="C499:H499"/>
    <mergeCell ref="C500:H500"/>
    <mergeCell ref="C484:H484"/>
    <mergeCell ref="C485:H485"/>
    <mergeCell ref="C486:H486"/>
    <mergeCell ref="C487:H487"/>
    <mergeCell ref="B492:H492"/>
    <mergeCell ref="C493:H493"/>
    <mergeCell ref="C494:H494"/>
    <mergeCell ref="C495:H495"/>
    <mergeCell ref="C496:H496"/>
    <mergeCell ref="C488:L488"/>
    <mergeCell ref="C489:L489"/>
    <mergeCell ref="B491:L491"/>
    <mergeCell ref="M491:N491"/>
    <mergeCell ref="B476:L476"/>
    <mergeCell ref="M476:N476"/>
    <mergeCell ref="B464:H464"/>
    <mergeCell ref="C465:H465"/>
    <mergeCell ref="C466:H466"/>
    <mergeCell ref="C467:H467"/>
    <mergeCell ref="C468:H468"/>
    <mergeCell ref="B477:H477"/>
    <mergeCell ref="C478:H478"/>
    <mergeCell ref="C479:H479"/>
    <mergeCell ref="B490:N490"/>
    <mergeCell ref="C480:H480"/>
    <mergeCell ref="C481:H481"/>
    <mergeCell ref="C482:H482"/>
    <mergeCell ref="C483:H483"/>
    <mergeCell ref="C475:L475"/>
    <mergeCell ref="C469:H469"/>
    <mergeCell ref="C470:H470"/>
    <mergeCell ref="C471:H471"/>
    <mergeCell ref="C472:H472"/>
    <mergeCell ref="C473:H473"/>
    <mergeCell ref="C474:H474"/>
    <mergeCell ref="M381:N381"/>
    <mergeCell ref="C416:L416"/>
    <mergeCell ref="C415:L415"/>
    <mergeCell ref="M463:N463"/>
    <mergeCell ref="C389:H389"/>
    <mergeCell ref="B381:L381"/>
    <mergeCell ref="C405:H405"/>
    <mergeCell ref="C406:H406"/>
    <mergeCell ref="C407:H407"/>
    <mergeCell ref="C399:H399"/>
    <mergeCell ref="C400:H400"/>
    <mergeCell ref="C401:H401"/>
    <mergeCell ref="C402:H402"/>
    <mergeCell ref="C403:H403"/>
    <mergeCell ref="C404:H404"/>
    <mergeCell ref="C408:H408"/>
    <mergeCell ref="C409:H409"/>
    <mergeCell ref="C410:H410"/>
    <mergeCell ref="C411:H411"/>
    <mergeCell ref="C412:H412"/>
    <mergeCell ref="C413:H413"/>
    <mergeCell ref="C414:H414"/>
    <mergeCell ref="B456:N456"/>
    <mergeCell ref="B457:N457"/>
    <mergeCell ref="B462:N462"/>
    <mergeCell ref="B463:L463"/>
    <mergeCell ref="C380:L380"/>
    <mergeCell ref="C97:H97"/>
    <mergeCell ref="C85:H85"/>
    <mergeCell ref="C86:H86"/>
    <mergeCell ref="C87:H87"/>
    <mergeCell ref="C88:H88"/>
    <mergeCell ref="C113:H113"/>
    <mergeCell ref="C114:H114"/>
    <mergeCell ref="C107:H107"/>
    <mergeCell ref="C108:H108"/>
    <mergeCell ref="C343:L343"/>
    <mergeCell ref="C344:L344"/>
    <mergeCell ref="C109:H109"/>
    <mergeCell ref="C110:H110"/>
    <mergeCell ref="C111:H111"/>
    <mergeCell ref="C112:H112"/>
    <mergeCell ref="C123:H123"/>
    <mergeCell ref="C115:L115"/>
    <mergeCell ref="C149:H149"/>
    <mergeCell ref="C150:L150"/>
    <mergeCell ref="C151:L151"/>
    <mergeCell ref="C209:H209"/>
    <mergeCell ref="M309:N309"/>
    <mergeCell ref="C293:H293"/>
    <mergeCell ref="C294:H294"/>
    <mergeCell ref="C295:H295"/>
    <mergeCell ref="C296:H296"/>
    <mergeCell ref="M346:N346"/>
    <mergeCell ref="C319:I319"/>
    <mergeCell ref="C320:I320"/>
    <mergeCell ref="C321:I321"/>
    <mergeCell ref="C322:I322"/>
    <mergeCell ref="C329:I329"/>
    <mergeCell ref="C330:I330"/>
    <mergeCell ref="C331:I331"/>
    <mergeCell ref="C332:I332"/>
    <mergeCell ref="C333:I333"/>
    <mergeCell ref="C334:I334"/>
    <mergeCell ref="C335:I335"/>
    <mergeCell ref="C342:I342"/>
    <mergeCell ref="C337:I337"/>
    <mergeCell ref="C338:I338"/>
    <mergeCell ref="C339:I339"/>
    <mergeCell ref="C340:I340"/>
    <mergeCell ref="C341:I341"/>
    <mergeCell ref="C305:H305"/>
    <mergeCell ref="C306:L306"/>
    <mergeCell ref="C307:L307"/>
    <mergeCell ref="C336:I336"/>
    <mergeCell ref="C323:I323"/>
    <mergeCell ref="C324:I324"/>
    <mergeCell ref="C325:I325"/>
    <mergeCell ref="C326:I326"/>
    <mergeCell ref="C327:I327"/>
    <mergeCell ref="C328:I328"/>
    <mergeCell ref="C316:I316"/>
    <mergeCell ref="C317:I317"/>
    <mergeCell ref="C318:I318"/>
    <mergeCell ref="C313:I313"/>
    <mergeCell ref="C314:I314"/>
    <mergeCell ref="C315:I315"/>
    <mergeCell ref="B309:L309"/>
    <mergeCell ref="B310:J310"/>
    <mergeCell ref="B311:J311"/>
    <mergeCell ref="B312:I312"/>
    <mergeCell ref="C297:H297"/>
    <mergeCell ref="C298:H298"/>
    <mergeCell ref="C299:H299"/>
    <mergeCell ref="C300:H300"/>
    <mergeCell ref="C301:H301"/>
    <mergeCell ref="C302:H302"/>
    <mergeCell ref="C303:H303"/>
    <mergeCell ref="C304:H304"/>
    <mergeCell ref="M282:N282"/>
    <mergeCell ref="B283:J283"/>
    <mergeCell ref="B284:J284"/>
    <mergeCell ref="B285:H285"/>
    <mergeCell ref="C244:H244"/>
    <mergeCell ref="C281:L281"/>
    <mergeCell ref="C291:H291"/>
    <mergeCell ref="C292:H292"/>
    <mergeCell ref="M230:N230"/>
    <mergeCell ref="C254:L254"/>
    <mergeCell ref="B282:L282"/>
    <mergeCell ref="C286:H286"/>
    <mergeCell ref="C287:H287"/>
    <mergeCell ref="C288:H288"/>
    <mergeCell ref="C289:H289"/>
    <mergeCell ref="C290:H290"/>
    <mergeCell ref="B230:L230"/>
    <mergeCell ref="C252:H252"/>
    <mergeCell ref="C253:H253"/>
    <mergeCell ref="C245:H245"/>
    <mergeCell ref="C246:H246"/>
    <mergeCell ref="C247:H247"/>
    <mergeCell ref="C248:H248"/>
    <mergeCell ref="C249:H249"/>
    <mergeCell ref="C250:H250"/>
    <mergeCell ref="C251:H251"/>
    <mergeCell ref="C261:H261"/>
    <mergeCell ref="C262:H262"/>
    <mergeCell ref="C225:H225"/>
    <mergeCell ref="C226:H226"/>
    <mergeCell ref="C227:H227"/>
    <mergeCell ref="C220:H220"/>
    <mergeCell ref="C221:H221"/>
    <mergeCell ref="C234:H234"/>
    <mergeCell ref="C228:H228"/>
    <mergeCell ref="C229:L229"/>
    <mergeCell ref="B231:J231"/>
    <mergeCell ref="B232:J232"/>
    <mergeCell ref="B233:H233"/>
    <mergeCell ref="C222:H222"/>
    <mergeCell ref="C223:H223"/>
    <mergeCell ref="C224:H224"/>
    <mergeCell ref="C197:H197"/>
    <mergeCell ref="C199:H199"/>
    <mergeCell ref="C200:H200"/>
    <mergeCell ref="C201:H201"/>
    <mergeCell ref="C215:H215"/>
    <mergeCell ref="C216:H216"/>
    <mergeCell ref="C217:H217"/>
    <mergeCell ref="C218:H218"/>
    <mergeCell ref="C219:H219"/>
    <mergeCell ref="B206:J206"/>
    <mergeCell ref="B207:J207"/>
    <mergeCell ref="B208:H208"/>
    <mergeCell ref="C210:H210"/>
    <mergeCell ref="C212:H212"/>
    <mergeCell ref="C214:H214"/>
    <mergeCell ref="C213:H213"/>
    <mergeCell ref="C127:H127"/>
    <mergeCell ref="C128:H128"/>
    <mergeCell ref="C120:H120"/>
    <mergeCell ref="C133:H133"/>
    <mergeCell ref="C145:H145"/>
    <mergeCell ref="C146:H146"/>
    <mergeCell ref="C138:H138"/>
    <mergeCell ref="C139:H139"/>
    <mergeCell ref="C140:H140"/>
    <mergeCell ref="C141:H141"/>
    <mergeCell ref="C142:H142"/>
    <mergeCell ref="C143:H143"/>
    <mergeCell ref="C144:H144"/>
    <mergeCell ref="C34:H34"/>
    <mergeCell ref="C42:H42"/>
    <mergeCell ref="C26:H26"/>
    <mergeCell ref="C27:H27"/>
    <mergeCell ref="M116:N116"/>
    <mergeCell ref="C124:H124"/>
    <mergeCell ref="C125:H125"/>
    <mergeCell ref="C126:H126"/>
    <mergeCell ref="C53:H53"/>
    <mergeCell ref="C74:H74"/>
    <mergeCell ref="C35:H35"/>
    <mergeCell ref="C36:H36"/>
    <mergeCell ref="C37:H37"/>
    <mergeCell ref="C38:H38"/>
    <mergeCell ref="C39:H39"/>
    <mergeCell ref="C40:H40"/>
    <mergeCell ref="C41:H41"/>
    <mergeCell ref="C65:H65"/>
    <mergeCell ref="C68:H68"/>
    <mergeCell ref="C69:H69"/>
    <mergeCell ref="C70:H70"/>
    <mergeCell ref="C71:H71"/>
    <mergeCell ref="C72:H72"/>
    <mergeCell ref="C73:H73"/>
    <mergeCell ref="C503:L503"/>
    <mergeCell ref="B504:L504"/>
    <mergeCell ref="C512:H512"/>
    <mergeCell ref="C134:H134"/>
    <mergeCell ref="C135:H135"/>
    <mergeCell ref="C136:H136"/>
    <mergeCell ref="C137:H137"/>
    <mergeCell ref="B505:H505"/>
    <mergeCell ref="C506:H506"/>
    <mergeCell ref="C507:H507"/>
    <mergeCell ref="C508:H508"/>
    <mergeCell ref="C157:H157"/>
    <mergeCell ref="C158:H158"/>
    <mergeCell ref="C198:H198"/>
    <mergeCell ref="B308:N308"/>
    <mergeCell ref="M504:N504"/>
    <mergeCell ref="C454:L454"/>
    <mergeCell ref="C433:H433"/>
    <mergeCell ref="C147:H147"/>
    <mergeCell ref="C148:H148"/>
    <mergeCell ref="C434:H434"/>
    <mergeCell ref="M178:N178"/>
    <mergeCell ref="C202:L202"/>
    <mergeCell ref="C203:L203"/>
    <mergeCell ref="C513:H513"/>
    <mergeCell ref="C516:L516"/>
    <mergeCell ref="C517:L517"/>
    <mergeCell ref="C515:H515"/>
    <mergeCell ref="B520:H520"/>
    <mergeCell ref="B518:N518"/>
    <mergeCell ref="B519:L519"/>
    <mergeCell ref="M519:N519"/>
    <mergeCell ref="C509:H509"/>
    <mergeCell ref="C510:H510"/>
    <mergeCell ref="C511:H511"/>
    <mergeCell ref="C514:H514"/>
    <mergeCell ref="M532:N532"/>
    <mergeCell ref="C521:H521"/>
    <mergeCell ref="C522:H522"/>
    <mergeCell ref="C531:L531"/>
    <mergeCell ref="C523:H523"/>
    <mergeCell ref="C524:H524"/>
    <mergeCell ref="C525:H525"/>
    <mergeCell ref="C526:H526"/>
    <mergeCell ref="C527:H527"/>
    <mergeCell ref="C528:H528"/>
    <mergeCell ref="C537:H537"/>
    <mergeCell ref="C538:H538"/>
    <mergeCell ref="C539:H539"/>
    <mergeCell ref="C540:H540"/>
    <mergeCell ref="B532:L532"/>
    <mergeCell ref="C544:L544"/>
    <mergeCell ref="C529:H529"/>
    <mergeCell ref="C530:H530"/>
    <mergeCell ref="B533:H533"/>
    <mergeCell ref="C534:H534"/>
    <mergeCell ref="C535:H535"/>
    <mergeCell ref="C536:H536"/>
    <mergeCell ref="C545:L545"/>
    <mergeCell ref="C541:H541"/>
    <mergeCell ref="C542:H542"/>
    <mergeCell ref="C543:H543"/>
    <mergeCell ref="B548:H548"/>
    <mergeCell ref="C549:H549"/>
    <mergeCell ref="B546:N546"/>
    <mergeCell ref="B547:L547"/>
    <mergeCell ref="M547:N547"/>
    <mergeCell ref="C550:H550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B574:N574"/>
    <mergeCell ref="B575:L575"/>
    <mergeCell ref="C578:H578"/>
    <mergeCell ref="C579:H579"/>
    <mergeCell ref="C580:H580"/>
    <mergeCell ref="C581:H581"/>
    <mergeCell ref="C559:L559"/>
    <mergeCell ref="B561:H561"/>
    <mergeCell ref="C562:H562"/>
    <mergeCell ref="C563:H563"/>
    <mergeCell ref="C564:H564"/>
    <mergeCell ref="C565:H565"/>
    <mergeCell ref="M560:N560"/>
    <mergeCell ref="C566:H566"/>
    <mergeCell ref="C567:H567"/>
    <mergeCell ref="B560:L560"/>
    <mergeCell ref="C572:L572"/>
    <mergeCell ref="C573:L573"/>
    <mergeCell ref="C568:H568"/>
    <mergeCell ref="C569:H569"/>
    <mergeCell ref="C570:H570"/>
    <mergeCell ref="C571:H571"/>
    <mergeCell ref="M575:N575"/>
    <mergeCell ref="C600:L600"/>
    <mergeCell ref="C601:L601"/>
    <mergeCell ref="C595:H595"/>
    <mergeCell ref="C596:H596"/>
    <mergeCell ref="C597:H597"/>
    <mergeCell ref="C598:H598"/>
    <mergeCell ref="C599:H599"/>
    <mergeCell ref="B589:H589"/>
    <mergeCell ref="C590:H590"/>
    <mergeCell ref="C591:H591"/>
    <mergeCell ref="C592:H592"/>
    <mergeCell ref="C593:H593"/>
    <mergeCell ref="C594:H594"/>
    <mergeCell ref="M588:N588"/>
    <mergeCell ref="C577:H577"/>
    <mergeCell ref="C582:H582"/>
    <mergeCell ref="C583:H583"/>
    <mergeCell ref="C584:H584"/>
    <mergeCell ref="C585:H585"/>
    <mergeCell ref="C587:L587"/>
    <mergeCell ref="C586:H586"/>
    <mergeCell ref="B576:H576"/>
    <mergeCell ref="B588:L588"/>
    <mergeCell ref="C658:L658"/>
    <mergeCell ref="C656:L656"/>
    <mergeCell ref="C657:L657"/>
    <mergeCell ref="C643:L643"/>
    <mergeCell ref="C648:H648"/>
    <mergeCell ref="C651:H651"/>
    <mergeCell ref="C652:H652"/>
    <mergeCell ref="C653:H653"/>
    <mergeCell ref="B630:N630"/>
    <mergeCell ref="M644:N644"/>
    <mergeCell ref="B632:H632"/>
    <mergeCell ref="C633:H633"/>
    <mergeCell ref="C634:H634"/>
    <mergeCell ref="C635:H635"/>
    <mergeCell ref="C636:H636"/>
    <mergeCell ref="C637:H637"/>
    <mergeCell ref="C638:H638"/>
    <mergeCell ref="C639:H639"/>
    <mergeCell ref="B631:L631"/>
    <mergeCell ref="M631:N631"/>
    <mergeCell ref="C654:H654"/>
    <mergeCell ref="C655:H655"/>
    <mergeCell ref="B644:L644"/>
    <mergeCell ref="C642:H642"/>
    <mergeCell ref="B2:N2"/>
    <mergeCell ref="B3:N3"/>
    <mergeCell ref="B8:N8"/>
    <mergeCell ref="B80:N80"/>
    <mergeCell ref="B152:N152"/>
    <mergeCell ref="B204:N204"/>
    <mergeCell ref="B256:N256"/>
    <mergeCell ref="C640:H640"/>
    <mergeCell ref="C641:H641"/>
    <mergeCell ref="M257:N257"/>
    <mergeCell ref="B44:L44"/>
    <mergeCell ref="M44:N44"/>
    <mergeCell ref="B116:L116"/>
    <mergeCell ref="C121:H121"/>
    <mergeCell ref="C122:H122"/>
    <mergeCell ref="B345:N345"/>
    <mergeCell ref="B9:L9"/>
    <mergeCell ref="M9:N9"/>
    <mergeCell ref="B81:L81"/>
    <mergeCell ref="M81:N81"/>
    <mergeCell ref="B153:L153"/>
    <mergeCell ref="M153:N153"/>
    <mergeCell ref="B205:L205"/>
    <mergeCell ref="M205:N205"/>
    <mergeCell ref="B602:N602"/>
    <mergeCell ref="B603:L603"/>
    <mergeCell ref="M603:N603"/>
    <mergeCell ref="C646:H646"/>
    <mergeCell ref="C647:H647"/>
    <mergeCell ref="C649:H649"/>
    <mergeCell ref="C650:H650"/>
    <mergeCell ref="C628:L628"/>
    <mergeCell ref="C629:L629"/>
    <mergeCell ref="C622:H622"/>
    <mergeCell ref="C623:H623"/>
    <mergeCell ref="C624:H624"/>
    <mergeCell ref="C625:H625"/>
    <mergeCell ref="C626:H626"/>
    <mergeCell ref="C627:H627"/>
    <mergeCell ref="M616:N616"/>
    <mergeCell ref="B604:H604"/>
    <mergeCell ref="C605:H605"/>
    <mergeCell ref="C606:H606"/>
    <mergeCell ref="C607:H607"/>
    <mergeCell ref="C608:H608"/>
    <mergeCell ref="C609:H609"/>
    <mergeCell ref="B645:H645"/>
    <mergeCell ref="B617:H617"/>
    <mergeCell ref="C618:H618"/>
    <mergeCell ref="C619:H619"/>
    <mergeCell ref="C620:H620"/>
    <mergeCell ref="C621:H621"/>
    <mergeCell ref="B616:L616"/>
    <mergeCell ref="C610:H610"/>
    <mergeCell ref="C611:H611"/>
    <mergeCell ref="C612:H612"/>
    <mergeCell ref="C615:L615"/>
    <mergeCell ref="C613:H613"/>
    <mergeCell ref="C614:H614"/>
    <mergeCell ref="B10:J10"/>
    <mergeCell ref="B11:J11"/>
    <mergeCell ref="C16:H16"/>
    <mergeCell ref="L6:M6"/>
    <mergeCell ref="B47:H47"/>
    <mergeCell ref="B45:J45"/>
    <mergeCell ref="B46:J46"/>
    <mergeCell ref="C129:H129"/>
    <mergeCell ref="C130:H130"/>
    <mergeCell ref="C23:H23"/>
    <mergeCell ref="C24:H24"/>
    <mergeCell ref="C25:H25"/>
    <mergeCell ref="C17:H17"/>
    <mergeCell ref="C18:H18"/>
    <mergeCell ref="C19:H19"/>
    <mergeCell ref="C20:H20"/>
    <mergeCell ref="C79:L79"/>
    <mergeCell ref="C62:H62"/>
    <mergeCell ref="C63:H63"/>
    <mergeCell ref="C64:H64"/>
    <mergeCell ref="C56:H56"/>
    <mergeCell ref="C57:H57"/>
    <mergeCell ref="C58:H58"/>
    <mergeCell ref="C59:H59"/>
    <mergeCell ref="B119:H119"/>
    <mergeCell ref="B118:J118"/>
    <mergeCell ref="B117:J117"/>
    <mergeCell ref="B154:J154"/>
    <mergeCell ref="B155:J155"/>
    <mergeCell ref="B156:H156"/>
    <mergeCell ref="B179:J179"/>
    <mergeCell ref="B12:H12"/>
    <mergeCell ref="C131:H131"/>
    <mergeCell ref="C132:H132"/>
    <mergeCell ref="C60:H60"/>
    <mergeCell ref="C61:H61"/>
    <mergeCell ref="C28:H28"/>
    <mergeCell ref="C29:H29"/>
    <mergeCell ref="C30:H30"/>
    <mergeCell ref="C31:H31"/>
    <mergeCell ref="C32:H32"/>
    <mergeCell ref="C33:H33"/>
    <mergeCell ref="C13:H13"/>
    <mergeCell ref="C14:H14"/>
    <mergeCell ref="C15:H15"/>
    <mergeCell ref="C21:H21"/>
    <mergeCell ref="C22:H22"/>
    <mergeCell ref="C43:L43"/>
    <mergeCell ref="C170:H170"/>
    <mergeCell ref="C171:H171"/>
    <mergeCell ref="B417:N417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C243:H243"/>
    <mergeCell ref="C186:H186"/>
    <mergeCell ref="C189:H189"/>
    <mergeCell ref="C190:H190"/>
    <mergeCell ref="C191:H191"/>
    <mergeCell ref="C192:H192"/>
    <mergeCell ref="C193:H193"/>
    <mergeCell ref="C194:H194"/>
    <mergeCell ref="C195:H195"/>
    <mergeCell ref="C211:H211"/>
    <mergeCell ref="C187:H187"/>
    <mergeCell ref="C188:H188"/>
    <mergeCell ref="C196:H196"/>
    <mergeCell ref="M418:N418"/>
    <mergeCell ref="B419:J419"/>
    <mergeCell ref="B420:J420"/>
    <mergeCell ref="B421:H421"/>
    <mergeCell ref="C422:H422"/>
    <mergeCell ref="C501:H501"/>
    <mergeCell ref="C502:H502"/>
    <mergeCell ref="C435:H435"/>
    <mergeCell ref="C423:H423"/>
    <mergeCell ref="C424:H424"/>
    <mergeCell ref="C436:H436"/>
    <mergeCell ref="C437:H437"/>
    <mergeCell ref="C427:H427"/>
    <mergeCell ref="C428:H428"/>
    <mergeCell ref="C429:H429"/>
    <mergeCell ref="C430:H430"/>
    <mergeCell ref="C431:H431"/>
    <mergeCell ref="C432:H432"/>
    <mergeCell ref="C438:H438"/>
    <mergeCell ref="C439:H439"/>
    <mergeCell ref="C440:H440"/>
    <mergeCell ref="C441:H441"/>
    <mergeCell ref="C442:H442"/>
    <mergeCell ref="B418:L418"/>
    <mergeCell ref="C425:H425"/>
    <mergeCell ref="C426:H426"/>
    <mergeCell ref="C452:L452"/>
    <mergeCell ref="C453:L453"/>
    <mergeCell ref="C443:H443"/>
    <mergeCell ref="C444:H444"/>
    <mergeCell ref="C445:H445"/>
    <mergeCell ref="C446:H446"/>
    <mergeCell ref="C447:H447"/>
    <mergeCell ref="C448:H448"/>
    <mergeCell ref="C449:H449"/>
    <mergeCell ref="C450:H450"/>
    <mergeCell ref="C451:H451"/>
  </mergeCells>
  <conditionalFormatting sqref="M11 M13:M42 M43:N43 M46 M48:M79 N78 M85:M114 M115:N115 M120:M151 N150:N151 M177:N177 N202:N203 N229 M234:M255 N254 M255:N255 M281:N281 M306:N307 M380:N380 M385:M416 M415:N416 M422:M453 M452:N454 M465:M475 M478:M489 M493:M503 M506:M517 M521:M531 M534:M545 M549:M559 M562:M573 M577:M587 M590:M601 M605:M615 M618:M629 M633:M643 M646:M658">
    <cfRule type="cellIs" dxfId="105" priority="30" operator="lessThan">
      <formula>0</formula>
    </cfRule>
  </conditionalFormatting>
  <conditionalFormatting sqref="M83">
    <cfRule type="cellIs" dxfId="104" priority="15" operator="lessThan">
      <formula>0</formula>
    </cfRule>
  </conditionalFormatting>
  <conditionalFormatting sqref="M118">
    <cfRule type="cellIs" dxfId="103" priority="14" operator="lessThan">
      <formula>0</formula>
    </cfRule>
  </conditionalFormatting>
  <conditionalFormatting sqref="M155">
    <cfRule type="cellIs" dxfId="102" priority="13" operator="lessThan">
      <formula>0</formula>
    </cfRule>
  </conditionalFormatting>
  <conditionalFormatting sqref="M157:M176">
    <cfRule type="cellIs" dxfId="101" priority="27" operator="lessThan">
      <formula>0</formula>
    </cfRule>
  </conditionalFormatting>
  <conditionalFormatting sqref="M180">
    <cfRule type="cellIs" dxfId="100" priority="12" operator="lessThan">
      <formula>0</formula>
    </cfRule>
  </conditionalFormatting>
  <conditionalFormatting sqref="M182:M203">
    <cfRule type="cellIs" dxfId="99" priority="26" operator="lessThan">
      <formula>0</formula>
    </cfRule>
  </conditionalFormatting>
  <conditionalFormatting sqref="M207">
    <cfRule type="cellIs" dxfId="98" priority="11" operator="lessThan">
      <formula>0</formula>
    </cfRule>
  </conditionalFormatting>
  <conditionalFormatting sqref="M209:M229">
    <cfRule type="cellIs" dxfId="97" priority="25" operator="lessThan">
      <formula>0</formula>
    </cfRule>
  </conditionalFormatting>
  <conditionalFormatting sqref="M232">
    <cfRule type="cellIs" dxfId="96" priority="10" operator="lessThan">
      <formula>0</formula>
    </cfRule>
  </conditionalFormatting>
  <conditionalFormatting sqref="M259">
    <cfRule type="cellIs" dxfId="95" priority="9" operator="lessThan">
      <formula>0</formula>
    </cfRule>
  </conditionalFormatting>
  <conditionalFormatting sqref="M261:M280">
    <cfRule type="cellIs" dxfId="94" priority="24" operator="lessThan">
      <formula>0</formula>
    </cfRule>
  </conditionalFormatting>
  <conditionalFormatting sqref="M284">
    <cfRule type="cellIs" dxfId="93" priority="8" operator="lessThan">
      <formula>0</formula>
    </cfRule>
  </conditionalFormatting>
  <conditionalFormatting sqref="M286:M305">
    <cfRule type="cellIs" dxfId="92" priority="23" operator="lessThan">
      <formula>0</formula>
    </cfRule>
  </conditionalFormatting>
  <conditionalFormatting sqref="M311">
    <cfRule type="cellIs" dxfId="91" priority="7" operator="lessThan">
      <formula>0</formula>
    </cfRule>
  </conditionalFormatting>
  <conditionalFormatting sqref="M313:M342">
    <cfRule type="cellIs" dxfId="90" priority="19" operator="lessThan">
      <formula>0</formula>
    </cfRule>
  </conditionalFormatting>
  <conditionalFormatting sqref="M348">
    <cfRule type="cellIs" dxfId="89" priority="5" operator="lessThan">
      <formula>0</formula>
    </cfRule>
  </conditionalFormatting>
  <conditionalFormatting sqref="M350:M379">
    <cfRule type="cellIs" dxfId="88" priority="16" operator="lessThan">
      <formula>0</formula>
    </cfRule>
  </conditionalFormatting>
  <conditionalFormatting sqref="M383">
    <cfRule type="cellIs" dxfId="87" priority="6" operator="lessThan">
      <formula>0</formula>
    </cfRule>
  </conditionalFormatting>
  <conditionalFormatting sqref="M420">
    <cfRule type="cellIs" dxfId="86" priority="2" operator="lessThan">
      <formula>0</formula>
    </cfRule>
  </conditionalFormatting>
  <conditionalFormatting sqref="M343:N344">
    <cfRule type="cellIs" dxfId="85" priority="4" operator="lessThan">
      <formula>0</formula>
    </cfRule>
  </conditionalFormatting>
  <dataValidations count="1">
    <dataValidation type="decimal" allowBlank="1" showInputMessage="1" showErrorMessage="1" sqref="J286:J305 J261:J280 J48:J77 J120:J149 J85:J114 J157:J176 J182:J201 J209:J228 J234:J253 J13:J42 J313:J342" xr:uid="{00000000-0002-0000-0E00-000000000000}">
      <formula1>0</formula1>
      <formula2>10000000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80:M81 A44:M44 A347:A348 A382:A383 A116:M116 A152:M153 A258:A259 A178:M178 A204:M205 A230:M230 A256:M257 A282:M282 A306:L307 A345:M346 A381:M381 A416:L416 C308:M308 D343:L343 D344:L344 A43:L43 O43:IT43 A78:L78 O78:IT78 A115:L115 O115:IT115 A150:L150 A151:L151 O150:IT151 L174:L176 A177:L177 O174:IT177 A202:L202 A203:L203 O202:IT203 A229:L229 O229:IT229 A254:L254 A255:L255 O254:IT255 A281:L281 O281:IT281 O306:IT307 B454:L454 N309:IT309 O343:IT344 A380:L380 O380:IT380 A415:L415 C309:L309 A308:A311 A343:B344 O11:IT12 O179:IT181 O206:IT207 O231:IT232 O258:IT259 O283:IT284 A283:A284 O347:IT348 O382:IT383 A10:A12 L10:IT10 A7:M9 A5:M5 A6:K6 N5:IT6 A2:M4 N2:IT4 N79:IT81 N44:IT44 N116:IT116 N152:IT153 N178:IT178 N204:IT205 N230:IT230 N256:IT257 N282:IT282 N345:IT346 N381:IT381 B455:M659 N455:N659 N308:IT308 O310:IT311 N7:IT9 B660:N65319 A1:IT1 A45:A47 O45:IT47 A79:L79 A82:A84 O82:IT84 A117:A119 O117:IT119 K158:L160 C157:H157 A174:A176 C174:H176 A154:A160 O154:IT160 A179:A181 A206:A207 A231:A232 K157 O415:IT416 A418:A65247 O418:IT652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21"/>
  <dimension ref="B2:L189"/>
  <sheetViews>
    <sheetView zoomScale="160" zoomScaleNormal="160" workbookViewId="0">
      <selection activeCell="C5" sqref="C5:H5"/>
    </sheetView>
  </sheetViews>
  <sheetFormatPr defaultColWidth="9.140625" defaultRowHeight="15" customHeight="1" x14ac:dyDescent="0.25"/>
  <cols>
    <col min="1" max="2" width="3.7109375" style="52" customWidth="1"/>
    <col min="3" max="8" width="9.140625" style="52"/>
    <col min="9" max="9" width="12.7109375" style="52" customWidth="1"/>
    <col min="10" max="10" width="15" style="52" bestFit="1" customWidth="1"/>
    <col min="11" max="11" width="14.42578125" style="52" customWidth="1"/>
    <col min="12" max="12" width="17.5703125" style="52" customWidth="1"/>
    <col min="13" max="16384" width="9.140625" style="52"/>
  </cols>
  <sheetData>
    <row r="2" spans="2:12" ht="15" customHeight="1" x14ac:dyDescent="0.25">
      <c r="B2" s="734" t="s">
        <v>4041</v>
      </c>
      <c r="C2" s="735"/>
      <c r="D2" s="735"/>
      <c r="E2" s="735"/>
      <c r="F2" s="735"/>
      <c r="G2" s="735"/>
      <c r="H2" s="735"/>
      <c r="I2" s="735"/>
      <c r="J2" s="735"/>
      <c r="K2" s="735"/>
      <c r="L2" s="736"/>
    </row>
    <row r="3" spans="2:12" ht="15" customHeight="1" x14ac:dyDescent="0.25">
      <c r="B3" s="825" t="s">
        <v>3977</v>
      </c>
      <c r="C3" s="825"/>
      <c r="D3" s="825"/>
      <c r="E3" s="825"/>
      <c r="F3" s="825"/>
      <c r="G3" s="825"/>
      <c r="H3" s="825"/>
      <c r="I3" s="825"/>
      <c r="J3" s="825"/>
      <c r="K3" s="825" t="s">
        <v>3909</v>
      </c>
      <c r="L3" s="825"/>
    </row>
    <row r="4" spans="2:12" ht="15" customHeight="1" x14ac:dyDescent="0.25">
      <c r="B4" s="798" t="s">
        <v>3984</v>
      </c>
      <c r="C4" s="799"/>
      <c r="D4" s="799"/>
      <c r="E4" s="799"/>
      <c r="F4" s="799"/>
      <c r="G4" s="799"/>
      <c r="H4" s="800"/>
      <c r="I4" s="136" t="s">
        <v>3980</v>
      </c>
      <c r="J4" s="136" t="s">
        <v>3981</v>
      </c>
      <c r="K4" s="136" t="s">
        <v>3982</v>
      </c>
      <c r="L4" s="138" t="s">
        <v>3794</v>
      </c>
    </row>
    <row r="5" spans="2:12" ht="15" customHeight="1" x14ac:dyDescent="0.25">
      <c r="B5" s="139">
        <v>1</v>
      </c>
      <c r="C5" s="791"/>
      <c r="D5" s="791"/>
      <c r="E5" s="791"/>
      <c r="F5" s="791"/>
      <c r="G5" s="791"/>
      <c r="H5" s="792"/>
      <c r="I5" s="16"/>
      <c r="J5" s="459"/>
      <c r="K5" s="45">
        <f>L5</f>
        <v>0</v>
      </c>
      <c r="L5" s="143">
        <f t="shared" ref="L5:L14" si="0">I5*J5</f>
        <v>0</v>
      </c>
    </row>
    <row r="6" spans="2:12" ht="15" customHeight="1" x14ac:dyDescent="0.25">
      <c r="B6" s="139">
        <v>2</v>
      </c>
      <c r="C6" s="791"/>
      <c r="D6" s="791"/>
      <c r="E6" s="791"/>
      <c r="F6" s="791"/>
      <c r="G6" s="791"/>
      <c r="H6" s="792"/>
      <c r="I6" s="16"/>
      <c r="J6" s="17"/>
      <c r="K6" s="45">
        <f>L6</f>
        <v>0</v>
      </c>
      <c r="L6" s="143">
        <f t="shared" si="0"/>
        <v>0</v>
      </c>
    </row>
    <row r="7" spans="2:12" ht="15" customHeight="1" x14ac:dyDescent="0.25">
      <c r="B7" s="139">
        <v>3</v>
      </c>
      <c r="C7" s="791"/>
      <c r="D7" s="791"/>
      <c r="E7" s="791"/>
      <c r="F7" s="791"/>
      <c r="G7" s="791"/>
      <c r="H7" s="792"/>
      <c r="I7" s="16"/>
      <c r="J7" s="17"/>
      <c r="K7" s="45">
        <f t="shared" ref="K7:K14" si="1">L7</f>
        <v>0</v>
      </c>
      <c r="L7" s="143">
        <f t="shared" si="0"/>
        <v>0</v>
      </c>
    </row>
    <row r="8" spans="2:12" ht="15" customHeight="1" x14ac:dyDescent="0.25">
      <c r="B8" s="139">
        <v>4</v>
      </c>
      <c r="C8" s="791"/>
      <c r="D8" s="791"/>
      <c r="E8" s="791"/>
      <c r="F8" s="791"/>
      <c r="G8" s="791"/>
      <c r="H8" s="792"/>
      <c r="I8" s="16"/>
      <c r="J8" s="459"/>
      <c r="K8" s="45">
        <f t="shared" si="1"/>
        <v>0</v>
      </c>
      <c r="L8" s="143">
        <f t="shared" si="0"/>
        <v>0</v>
      </c>
    </row>
    <row r="9" spans="2:12" ht="15" customHeight="1" x14ac:dyDescent="0.25">
      <c r="B9" s="139">
        <v>5</v>
      </c>
      <c r="C9" s="791"/>
      <c r="D9" s="791"/>
      <c r="E9" s="791"/>
      <c r="F9" s="791"/>
      <c r="G9" s="791"/>
      <c r="H9" s="792"/>
      <c r="I9" s="16"/>
      <c r="J9" s="17"/>
      <c r="K9" s="45">
        <f t="shared" si="1"/>
        <v>0</v>
      </c>
      <c r="L9" s="143">
        <f t="shared" si="0"/>
        <v>0</v>
      </c>
    </row>
    <row r="10" spans="2:12" ht="15" customHeight="1" x14ac:dyDescent="0.25">
      <c r="B10" s="139">
        <v>6</v>
      </c>
      <c r="C10" s="791"/>
      <c r="D10" s="791"/>
      <c r="E10" s="791"/>
      <c r="F10" s="791"/>
      <c r="G10" s="791"/>
      <c r="H10" s="792"/>
      <c r="I10" s="16"/>
      <c r="J10" s="17"/>
      <c r="K10" s="45">
        <f t="shared" si="1"/>
        <v>0</v>
      </c>
      <c r="L10" s="143">
        <f t="shared" si="0"/>
        <v>0</v>
      </c>
    </row>
    <row r="11" spans="2:12" ht="15" customHeight="1" x14ac:dyDescent="0.25">
      <c r="B11" s="139">
        <v>7</v>
      </c>
      <c r="C11" s="791"/>
      <c r="D11" s="791"/>
      <c r="E11" s="791"/>
      <c r="F11" s="791"/>
      <c r="G11" s="791"/>
      <c r="H11" s="792"/>
      <c r="I11" s="16"/>
      <c r="J11" s="17"/>
      <c r="K11" s="45">
        <f t="shared" si="1"/>
        <v>0</v>
      </c>
      <c r="L11" s="143">
        <f t="shared" si="0"/>
        <v>0</v>
      </c>
    </row>
    <row r="12" spans="2:12" ht="15" customHeight="1" x14ac:dyDescent="0.25">
      <c r="B12" s="139">
        <v>8</v>
      </c>
      <c r="C12" s="791"/>
      <c r="D12" s="791"/>
      <c r="E12" s="791"/>
      <c r="F12" s="791"/>
      <c r="G12" s="791"/>
      <c r="H12" s="792"/>
      <c r="I12" s="16"/>
      <c r="J12" s="17"/>
      <c r="K12" s="45">
        <f t="shared" si="1"/>
        <v>0</v>
      </c>
      <c r="L12" s="143">
        <f t="shared" si="0"/>
        <v>0</v>
      </c>
    </row>
    <row r="13" spans="2:12" ht="15" customHeight="1" x14ac:dyDescent="0.25">
      <c r="B13" s="139">
        <v>9</v>
      </c>
      <c r="C13" s="791"/>
      <c r="D13" s="791"/>
      <c r="E13" s="791"/>
      <c r="F13" s="791"/>
      <c r="G13" s="791"/>
      <c r="H13" s="792"/>
      <c r="I13" s="16"/>
      <c r="J13" s="17"/>
      <c r="K13" s="45">
        <f t="shared" si="1"/>
        <v>0</v>
      </c>
      <c r="L13" s="143">
        <f t="shared" si="0"/>
        <v>0</v>
      </c>
    </row>
    <row r="14" spans="2:12" ht="15" customHeight="1" x14ac:dyDescent="0.25">
      <c r="B14" s="139">
        <v>10</v>
      </c>
      <c r="C14" s="791"/>
      <c r="D14" s="791"/>
      <c r="E14" s="791"/>
      <c r="F14" s="791"/>
      <c r="G14" s="791"/>
      <c r="H14" s="792"/>
      <c r="I14" s="16"/>
      <c r="J14" s="17"/>
      <c r="K14" s="45">
        <f t="shared" si="1"/>
        <v>0</v>
      </c>
      <c r="L14" s="143">
        <f t="shared" si="0"/>
        <v>0</v>
      </c>
    </row>
    <row r="15" spans="2:12" ht="15" customHeight="1" x14ac:dyDescent="0.25">
      <c r="B15" s="144"/>
      <c r="C15" s="793" t="s">
        <v>4042</v>
      </c>
      <c r="D15" s="793"/>
      <c r="E15" s="793"/>
      <c r="F15" s="793"/>
      <c r="G15" s="793"/>
      <c r="H15" s="793"/>
      <c r="I15" s="793"/>
      <c r="J15" s="794"/>
      <c r="K15" s="145">
        <f>SUM(K5:K14)</f>
        <v>0</v>
      </c>
      <c r="L15" s="145">
        <f>SUM(L5:L14)</f>
        <v>0</v>
      </c>
    </row>
    <row r="16" spans="2:12" ht="15" customHeight="1" x14ac:dyDescent="0.25">
      <c r="B16" s="734" t="s">
        <v>3993</v>
      </c>
      <c r="C16" s="735"/>
      <c r="D16" s="735"/>
      <c r="E16" s="735"/>
      <c r="F16" s="735"/>
      <c r="G16" s="735"/>
      <c r="H16" s="735"/>
      <c r="I16" s="735"/>
      <c r="J16" s="735"/>
      <c r="K16" s="825" t="s">
        <v>3909</v>
      </c>
      <c r="L16" s="825"/>
    </row>
    <row r="17" spans="2:12" ht="15" customHeight="1" x14ac:dyDescent="0.25">
      <c r="B17" s="798" t="s">
        <v>3984</v>
      </c>
      <c r="C17" s="799"/>
      <c r="D17" s="799"/>
      <c r="E17" s="799"/>
      <c r="F17" s="799"/>
      <c r="G17" s="799"/>
      <c r="H17" s="800"/>
      <c r="I17" s="136" t="s">
        <v>3980</v>
      </c>
      <c r="J17" s="136" t="s">
        <v>3981</v>
      </c>
      <c r="K17" s="136" t="s">
        <v>3982</v>
      </c>
      <c r="L17" s="138" t="s">
        <v>3794</v>
      </c>
    </row>
    <row r="18" spans="2:12" ht="15" customHeight="1" x14ac:dyDescent="0.25">
      <c r="B18" s="139">
        <v>1</v>
      </c>
      <c r="C18" s="791"/>
      <c r="D18" s="791"/>
      <c r="E18" s="791"/>
      <c r="F18" s="791"/>
      <c r="G18" s="791"/>
      <c r="H18" s="792"/>
      <c r="I18" s="16"/>
      <c r="J18" s="17"/>
      <c r="K18" s="45">
        <f t="shared" ref="K18:K27" si="2">L18</f>
        <v>0</v>
      </c>
      <c r="L18" s="143">
        <f t="shared" ref="L18:L27" si="3">I18*J18</f>
        <v>0</v>
      </c>
    </row>
    <row r="19" spans="2:12" ht="15" customHeight="1" x14ac:dyDescent="0.25">
      <c r="B19" s="139">
        <v>2</v>
      </c>
      <c r="C19" s="791"/>
      <c r="D19" s="791"/>
      <c r="E19" s="791"/>
      <c r="F19" s="791"/>
      <c r="G19" s="791"/>
      <c r="H19" s="792"/>
      <c r="I19" s="16"/>
      <c r="J19" s="17"/>
      <c r="K19" s="45">
        <f t="shared" si="2"/>
        <v>0</v>
      </c>
      <c r="L19" s="143">
        <f t="shared" si="3"/>
        <v>0</v>
      </c>
    </row>
    <row r="20" spans="2:12" ht="15" customHeight="1" x14ac:dyDescent="0.25">
      <c r="B20" s="139">
        <v>3</v>
      </c>
      <c r="C20" s="791"/>
      <c r="D20" s="791"/>
      <c r="E20" s="791"/>
      <c r="F20" s="791"/>
      <c r="G20" s="791"/>
      <c r="H20" s="792"/>
      <c r="I20" s="16"/>
      <c r="J20" s="17"/>
      <c r="K20" s="45">
        <f t="shared" si="2"/>
        <v>0</v>
      </c>
      <c r="L20" s="143">
        <f t="shared" si="3"/>
        <v>0</v>
      </c>
    </row>
    <row r="21" spans="2:12" ht="15" customHeight="1" x14ac:dyDescent="0.25">
      <c r="B21" s="139">
        <v>4</v>
      </c>
      <c r="C21" s="791"/>
      <c r="D21" s="791"/>
      <c r="E21" s="791"/>
      <c r="F21" s="791"/>
      <c r="G21" s="791"/>
      <c r="H21" s="792"/>
      <c r="I21" s="16"/>
      <c r="J21" s="17"/>
      <c r="K21" s="45">
        <f t="shared" si="2"/>
        <v>0</v>
      </c>
      <c r="L21" s="143">
        <f t="shared" si="3"/>
        <v>0</v>
      </c>
    </row>
    <row r="22" spans="2:12" ht="15" customHeight="1" x14ac:dyDescent="0.25">
      <c r="B22" s="139">
        <v>5</v>
      </c>
      <c r="C22" s="791"/>
      <c r="D22" s="791"/>
      <c r="E22" s="791"/>
      <c r="F22" s="791"/>
      <c r="G22" s="791"/>
      <c r="H22" s="792"/>
      <c r="I22" s="16"/>
      <c r="J22" s="17"/>
      <c r="K22" s="45">
        <f t="shared" si="2"/>
        <v>0</v>
      </c>
      <c r="L22" s="143">
        <f t="shared" si="3"/>
        <v>0</v>
      </c>
    </row>
    <row r="23" spans="2:12" ht="15" customHeight="1" x14ac:dyDescent="0.25">
      <c r="B23" s="139">
        <v>6</v>
      </c>
      <c r="C23" s="791"/>
      <c r="D23" s="791"/>
      <c r="E23" s="791"/>
      <c r="F23" s="791"/>
      <c r="G23" s="791"/>
      <c r="H23" s="792"/>
      <c r="I23" s="16"/>
      <c r="J23" s="17"/>
      <c r="K23" s="45">
        <f t="shared" si="2"/>
        <v>0</v>
      </c>
      <c r="L23" s="143">
        <f t="shared" si="3"/>
        <v>0</v>
      </c>
    </row>
    <row r="24" spans="2:12" ht="15" customHeight="1" x14ac:dyDescent="0.25">
      <c r="B24" s="139">
        <v>7</v>
      </c>
      <c r="C24" s="791"/>
      <c r="D24" s="791"/>
      <c r="E24" s="791"/>
      <c r="F24" s="791"/>
      <c r="G24" s="791"/>
      <c r="H24" s="792"/>
      <c r="I24" s="16"/>
      <c r="J24" s="17"/>
      <c r="K24" s="45">
        <f t="shared" si="2"/>
        <v>0</v>
      </c>
      <c r="L24" s="143">
        <f t="shared" si="3"/>
        <v>0</v>
      </c>
    </row>
    <row r="25" spans="2:12" ht="15" customHeight="1" x14ac:dyDescent="0.25">
      <c r="B25" s="139">
        <v>8</v>
      </c>
      <c r="C25" s="791"/>
      <c r="D25" s="791"/>
      <c r="E25" s="791"/>
      <c r="F25" s="791"/>
      <c r="G25" s="791"/>
      <c r="H25" s="792"/>
      <c r="I25" s="16"/>
      <c r="J25" s="17"/>
      <c r="K25" s="45">
        <f t="shared" si="2"/>
        <v>0</v>
      </c>
      <c r="L25" s="143">
        <f t="shared" si="3"/>
        <v>0</v>
      </c>
    </row>
    <row r="26" spans="2:12" ht="15" customHeight="1" x14ac:dyDescent="0.25">
      <c r="B26" s="139">
        <v>9</v>
      </c>
      <c r="C26" s="791"/>
      <c r="D26" s="791"/>
      <c r="E26" s="791"/>
      <c r="F26" s="791"/>
      <c r="G26" s="791"/>
      <c r="H26" s="792"/>
      <c r="I26" s="16"/>
      <c r="J26" s="17"/>
      <c r="K26" s="45">
        <f t="shared" si="2"/>
        <v>0</v>
      </c>
      <c r="L26" s="143">
        <f t="shared" si="3"/>
        <v>0</v>
      </c>
    </row>
    <row r="27" spans="2:12" ht="15" customHeight="1" x14ac:dyDescent="0.25">
      <c r="B27" s="139">
        <v>10</v>
      </c>
      <c r="C27" s="791"/>
      <c r="D27" s="791"/>
      <c r="E27" s="791"/>
      <c r="F27" s="791"/>
      <c r="G27" s="791"/>
      <c r="H27" s="792"/>
      <c r="I27" s="16"/>
      <c r="J27" s="17"/>
      <c r="K27" s="45">
        <f t="shared" si="2"/>
        <v>0</v>
      </c>
      <c r="L27" s="143">
        <f t="shared" si="3"/>
        <v>0</v>
      </c>
    </row>
    <row r="28" spans="2:12" ht="15" customHeight="1" x14ac:dyDescent="0.25">
      <c r="B28" s="144"/>
      <c r="C28" s="793" t="s">
        <v>4043</v>
      </c>
      <c r="D28" s="793"/>
      <c r="E28" s="793"/>
      <c r="F28" s="793"/>
      <c r="G28" s="793"/>
      <c r="H28" s="793"/>
      <c r="I28" s="793"/>
      <c r="J28" s="794"/>
      <c r="K28" s="145">
        <f>SUM(K18:K27)</f>
        <v>0</v>
      </c>
      <c r="L28" s="145">
        <f>SUM(L18:L27)</f>
        <v>0</v>
      </c>
    </row>
    <row r="29" spans="2:12" ht="15" customHeight="1" x14ac:dyDescent="0.25">
      <c r="B29" s="734" t="s">
        <v>3999</v>
      </c>
      <c r="C29" s="735"/>
      <c r="D29" s="735"/>
      <c r="E29" s="735"/>
      <c r="F29" s="735"/>
      <c r="G29" s="735"/>
      <c r="H29" s="735"/>
      <c r="I29" s="735"/>
      <c r="J29" s="735"/>
      <c r="K29" s="825" t="s">
        <v>3909</v>
      </c>
      <c r="L29" s="825"/>
    </row>
    <row r="30" spans="2:12" ht="15" customHeight="1" x14ac:dyDescent="0.25">
      <c r="B30" s="798" t="s">
        <v>3984</v>
      </c>
      <c r="C30" s="799"/>
      <c r="D30" s="799"/>
      <c r="E30" s="799"/>
      <c r="F30" s="799"/>
      <c r="G30" s="799"/>
      <c r="H30" s="800"/>
      <c r="I30" s="136" t="s">
        <v>3980</v>
      </c>
      <c r="J30" s="136" t="s">
        <v>3981</v>
      </c>
      <c r="K30" s="136" t="s">
        <v>3982</v>
      </c>
      <c r="L30" s="138" t="s">
        <v>3794</v>
      </c>
    </row>
    <row r="31" spans="2:12" ht="15" customHeight="1" x14ac:dyDescent="0.25">
      <c r="B31" s="139">
        <v>1</v>
      </c>
      <c r="C31" s="791"/>
      <c r="D31" s="791"/>
      <c r="E31" s="791"/>
      <c r="F31" s="791"/>
      <c r="G31" s="791"/>
      <c r="H31" s="792"/>
      <c r="I31" s="16"/>
      <c r="J31" s="17"/>
      <c r="K31" s="45">
        <f t="shared" ref="K31:K40" si="4">L31</f>
        <v>0</v>
      </c>
      <c r="L31" s="143">
        <f t="shared" ref="L31:L40" si="5">I31*J31</f>
        <v>0</v>
      </c>
    </row>
    <row r="32" spans="2:12" ht="15" customHeight="1" x14ac:dyDescent="0.25">
      <c r="B32" s="139">
        <v>2</v>
      </c>
      <c r="C32" s="791"/>
      <c r="D32" s="791"/>
      <c r="E32" s="791"/>
      <c r="F32" s="791"/>
      <c r="G32" s="791"/>
      <c r="H32" s="792"/>
      <c r="I32" s="16"/>
      <c r="J32" s="17"/>
      <c r="K32" s="45">
        <f t="shared" si="4"/>
        <v>0</v>
      </c>
      <c r="L32" s="143">
        <f t="shared" si="5"/>
        <v>0</v>
      </c>
    </row>
    <row r="33" spans="2:12" ht="15" customHeight="1" x14ac:dyDescent="0.25">
      <c r="B33" s="139">
        <v>3</v>
      </c>
      <c r="C33" s="791"/>
      <c r="D33" s="791"/>
      <c r="E33" s="791"/>
      <c r="F33" s="791"/>
      <c r="G33" s="791"/>
      <c r="H33" s="792"/>
      <c r="I33" s="16"/>
      <c r="J33" s="17"/>
      <c r="K33" s="45">
        <f t="shared" si="4"/>
        <v>0</v>
      </c>
      <c r="L33" s="143">
        <f t="shared" si="5"/>
        <v>0</v>
      </c>
    </row>
    <row r="34" spans="2:12" ht="15" customHeight="1" x14ac:dyDescent="0.25">
      <c r="B34" s="139">
        <v>4</v>
      </c>
      <c r="C34" s="791"/>
      <c r="D34" s="791"/>
      <c r="E34" s="791"/>
      <c r="F34" s="791"/>
      <c r="G34" s="791"/>
      <c r="H34" s="792"/>
      <c r="I34" s="16"/>
      <c r="J34" s="17"/>
      <c r="K34" s="45">
        <f t="shared" si="4"/>
        <v>0</v>
      </c>
      <c r="L34" s="143">
        <f t="shared" si="5"/>
        <v>0</v>
      </c>
    </row>
    <row r="35" spans="2:12" ht="15" customHeight="1" x14ac:dyDescent="0.25">
      <c r="B35" s="139">
        <v>5</v>
      </c>
      <c r="C35" s="791"/>
      <c r="D35" s="791"/>
      <c r="E35" s="791"/>
      <c r="F35" s="791"/>
      <c r="G35" s="791"/>
      <c r="H35" s="792"/>
      <c r="I35" s="16"/>
      <c r="J35" s="17"/>
      <c r="K35" s="45">
        <f t="shared" si="4"/>
        <v>0</v>
      </c>
      <c r="L35" s="143">
        <f t="shared" si="5"/>
        <v>0</v>
      </c>
    </row>
    <row r="36" spans="2:12" ht="15" customHeight="1" x14ac:dyDescent="0.25">
      <c r="B36" s="139">
        <v>6</v>
      </c>
      <c r="C36" s="791"/>
      <c r="D36" s="791"/>
      <c r="E36" s="791"/>
      <c r="F36" s="791"/>
      <c r="G36" s="791"/>
      <c r="H36" s="792"/>
      <c r="I36" s="16"/>
      <c r="J36" s="17"/>
      <c r="K36" s="45">
        <f t="shared" si="4"/>
        <v>0</v>
      </c>
      <c r="L36" s="143">
        <f t="shared" si="5"/>
        <v>0</v>
      </c>
    </row>
    <row r="37" spans="2:12" ht="15" customHeight="1" x14ac:dyDescent="0.25">
      <c r="B37" s="139">
        <v>7</v>
      </c>
      <c r="C37" s="791"/>
      <c r="D37" s="791"/>
      <c r="E37" s="791"/>
      <c r="F37" s="791"/>
      <c r="G37" s="791"/>
      <c r="H37" s="792"/>
      <c r="I37" s="16"/>
      <c r="J37" s="17"/>
      <c r="K37" s="45">
        <f t="shared" si="4"/>
        <v>0</v>
      </c>
      <c r="L37" s="143">
        <f t="shared" si="5"/>
        <v>0</v>
      </c>
    </row>
    <row r="38" spans="2:12" ht="15" customHeight="1" x14ac:dyDescent="0.25">
      <c r="B38" s="139">
        <v>8</v>
      </c>
      <c r="C38" s="791"/>
      <c r="D38" s="791"/>
      <c r="E38" s="791"/>
      <c r="F38" s="791"/>
      <c r="G38" s="791"/>
      <c r="H38" s="792"/>
      <c r="I38" s="16"/>
      <c r="J38" s="17"/>
      <c r="K38" s="45">
        <f t="shared" si="4"/>
        <v>0</v>
      </c>
      <c r="L38" s="143">
        <f t="shared" si="5"/>
        <v>0</v>
      </c>
    </row>
    <row r="39" spans="2:12" ht="15" customHeight="1" x14ac:dyDescent="0.25">
      <c r="B39" s="139">
        <v>9</v>
      </c>
      <c r="C39" s="791"/>
      <c r="D39" s="791"/>
      <c r="E39" s="791"/>
      <c r="F39" s="791"/>
      <c r="G39" s="791"/>
      <c r="H39" s="792"/>
      <c r="I39" s="16"/>
      <c r="J39" s="17"/>
      <c r="K39" s="45">
        <f t="shared" si="4"/>
        <v>0</v>
      </c>
      <c r="L39" s="143">
        <f t="shared" si="5"/>
        <v>0</v>
      </c>
    </row>
    <row r="40" spans="2:12" ht="15" customHeight="1" x14ac:dyDescent="0.25">
      <c r="B40" s="139">
        <v>10</v>
      </c>
      <c r="C40" s="791"/>
      <c r="D40" s="791"/>
      <c r="E40" s="791"/>
      <c r="F40" s="791"/>
      <c r="G40" s="791"/>
      <c r="H40" s="792"/>
      <c r="I40" s="16"/>
      <c r="J40" s="17"/>
      <c r="K40" s="45">
        <f t="shared" si="4"/>
        <v>0</v>
      </c>
      <c r="L40" s="143">
        <f t="shared" si="5"/>
        <v>0</v>
      </c>
    </row>
    <row r="41" spans="2:12" ht="15" customHeight="1" x14ac:dyDescent="0.25">
      <c r="B41" s="144"/>
      <c r="C41" s="793" t="s">
        <v>4044</v>
      </c>
      <c r="D41" s="793"/>
      <c r="E41" s="793"/>
      <c r="F41" s="793"/>
      <c r="G41" s="793"/>
      <c r="H41" s="793"/>
      <c r="I41" s="793"/>
      <c r="J41" s="794"/>
      <c r="K41" s="145">
        <f>SUM(K31:K40)</f>
        <v>0</v>
      </c>
      <c r="L41" s="145">
        <f>SUM(L31:L40)</f>
        <v>0</v>
      </c>
    </row>
    <row r="42" spans="2:12" ht="15" customHeight="1" x14ac:dyDescent="0.25">
      <c r="B42" s="734" t="s">
        <v>4005</v>
      </c>
      <c r="C42" s="735"/>
      <c r="D42" s="735"/>
      <c r="E42" s="735"/>
      <c r="F42" s="735"/>
      <c r="G42" s="735"/>
      <c r="H42" s="735"/>
      <c r="I42" s="735"/>
      <c r="J42" s="735"/>
      <c r="K42" s="825" t="s">
        <v>3909</v>
      </c>
      <c r="L42" s="825"/>
    </row>
    <row r="43" spans="2:12" ht="15" customHeight="1" x14ac:dyDescent="0.25">
      <c r="B43" s="798" t="s">
        <v>3984</v>
      </c>
      <c r="C43" s="799"/>
      <c r="D43" s="799"/>
      <c r="E43" s="799"/>
      <c r="F43" s="799"/>
      <c r="G43" s="799"/>
      <c r="H43" s="800"/>
      <c r="I43" s="136" t="s">
        <v>3980</v>
      </c>
      <c r="J43" s="136" t="s">
        <v>3981</v>
      </c>
      <c r="K43" s="136" t="s">
        <v>3982</v>
      </c>
      <c r="L43" s="138" t="s">
        <v>3794</v>
      </c>
    </row>
    <row r="44" spans="2:12" ht="15" customHeight="1" x14ac:dyDescent="0.25">
      <c r="B44" s="139">
        <v>1</v>
      </c>
      <c r="C44" s="791"/>
      <c r="D44" s="791"/>
      <c r="E44" s="791"/>
      <c r="F44" s="791"/>
      <c r="G44" s="791"/>
      <c r="H44" s="792"/>
      <c r="I44" s="16"/>
      <c r="J44" s="17"/>
      <c r="K44" s="45">
        <f t="shared" ref="K44:K53" si="6">L44</f>
        <v>0</v>
      </c>
      <c r="L44" s="143">
        <f t="shared" ref="L44:L53" si="7">I44*J44</f>
        <v>0</v>
      </c>
    </row>
    <row r="45" spans="2:12" ht="15" customHeight="1" x14ac:dyDescent="0.25">
      <c r="B45" s="139">
        <v>2</v>
      </c>
      <c r="C45" s="791"/>
      <c r="D45" s="791"/>
      <c r="E45" s="791"/>
      <c r="F45" s="791"/>
      <c r="G45" s="791"/>
      <c r="H45" s="792"/>
      <c r="I45" s="16"/>
      <c r="J45" s="17"/>
      <c r="K45" s="45">
        <f t="shared" si="6"/>
        <v>0</v>
      </c>
      <c r="L45" s="143">
        <f t="shared" si="7"/>
        <v>0</v>
      </c>
    </row>
    <row r="46" spans="2:12" ht="15" customHeight="1" x14ac:dyDescent="0.25">
      <c r="B46" s="139">
        <v>3</v>
      </c>
      <c r="C46" s="791"/>
      <c r="D46" s="791"/>
      <c r="E46" s="791"/>
      <c r="F46" s="791"/>
      <c r="G46" s="791"/>
      <c r="H46" s="792"/>
      <c r="I46" s="16"/>
      <c r="J46" s="17"/>
      <c r="K46" s="45">
        <f t="shared" si="6"/>
        <v>0</v>
      </c>
      <c r="L46" s="143">
        <f t="shared" si="7"/>
        <v>0</v>
      </c>
    </row>
    <row r="47" spans="2:12" ht="15" customHeight="1" x14ac:dyDescent="0.25">
      <c r="B47" s="139">
        <v>4</v>
      </c>
      <c r="C47" s="791"/>
      <c r="D47" s="791"/>
      <c r="E47" s="791"/>
      <c r="F47" s="791"/>
      <c r="G47" s="791"/>
      <c r="H47" s="792"/>
      <c r="I47" s="16"/>
      <c r="J47" s="17"/>
      <c r="K47" s="45">
        <f t="shared" si="6"/>
        <v>0</v>
      </c>
      <c r="L47" s="143">
        <f t="shared" si="7"/>
        <v>0</v>
      </c>
    </row>
    <row r="48" spans="2:12" ht="15" customHeight="1" x14ac:dyDescent="0.25">
      <c r="B48" s="139">
        <v>5</v>
      </c>
      <c r="C48" s="791"/>
      <c r="D48" s="791"/>
      <c r="E48" s="791"/>
      <c r="F48" s="791"/>
      <c r="G48" s="791"/>
      <c r="H48" s="792"/>
      <c r="I48" s="16"/>
      <c r="J48" s="17"/>
      <c r="K48" s="45">
        <f t="shared" si="6"/>
        <v>0</v>
      </c>
      <c r="L48" s="143">
        <f t="shared" si="7"/>
        <v>0</v>
      </c>
    </row>
    <row r="49" spans="2:12" ht="15" customHeight="1" x14ac:dyDescent="0.25">
      <c r="B49" s="139">
        <v>6</v>
      </c>
      <c r="C49" s="791"/>
      <c r="D49" s="791"/>
      <c r="E49" s="791"/>
      <c r="F49" s="791"/>
      <c r="G49" s="791"/>
      <c r="H49" s="792"/>
      <c r="I49" s="16"/>
      <c r="J49" s="17"/>
      <c r="K49" s="45">
        <f t="shared" si="6"/>
        <v>0</v>
      </c>
      <c r="L49" s="143">
        <f t="shared" si="7"/>
        <v>0</v>
      </c>
    </row>
    <row r="50" spans="2:12" ht="15" customHeight="1" x14ac:dyDescent="0.25">
      <c r="B50" s="139">
        <v>7</v>
      </c>
      <c r="C50" s="791"/>
      <c r="D50" s="791"/>
      <c r="E50" s="791"/>
      <c r="F50" s="791"/>
      <c r="G50" s="791"/>
      <c r="H50" s="792"/>
      <c r="I50" s="16"/>
      <c r="J50" s="17"/>
      <c r="K50" s="45">
        <f t="shared" si="6"/>
        <v>0</v>
      </c>
      <c r="L50" s="143">
        <f t="shared" si="7"/>
        <v>0</v>
      </c>
    </row>
    <row r="51" spans="2:12" ht="15" customHeight="1" x14ac:dyDescent="0.25">
      <c r="B51" s="139">
        <v>8</v>
      </c>
      <c r="C51" s="791"/>
      <c r="D51" s="791"/>
      <c r="E51" s="791"/>
      <c r="F51" s="791"/>
      <c r="G51" s="791"/>
      <c r="H51" s="792"/>
      <c r="I51" s="16"/>
      <c r="J51" s="17"/>
      <c r="K51" s="45">
        <f t="shared" si="6"/>
        <v>0</v>
      </c>
      <c r="L51" s="143">
        <f t="shared" si="7"/>
        <v>0</v>
      </c>
    </row>
    <row r="52" spans="2:12" ht="15" customHeight="1" x14ac:dyDescent="0.25">
      <c r="B52" s="139">
        <v>9</v>
      </c>
      <c r="C52" s="791"/>
      <c r="D52" s="791"/>
      <c r="E52" s="791"/>
      <c r="F52" s="791"/>
      <c r="G52" s="791"/>
      <c r="H52" s="792"/>
      <c r="I52" s="16"/>
      <c r="J52" s="17"/>
      <c r="K52" s="45">
        <f t="shared" si="6"/>
        <v>0</v>
      </c>
      <c r="L52" s="143">
        <f t="shared" si="7"/>
        <v>0</v>
      </c>
    </row>
    <row r="53" spans="2:12" ht="15" customHeight="1" x14ac:dyDescent="0.25">
      <c r="B53" s="139">
        <v>10</v>
      </c>
      <c r="C53" s="791"/>
      <c r="D53" s="791"/>
      <c r="E53" s="791"/>
      <c r="F53" s="791"/>
      <c r="G53" s="791"/>
      <c r="H53" s="792"/>
      <c r="I53" s="16"/>
      <c r="J53" s="17"/>
      <c r="K53" s="45">
        <f t="shared" si="6"/>
        <v>0</v>
      </c>
      <c r="L53" s="143">
        <f t="shared" si="7"/>
        <v>0</v>
      </c>
    </row>
    <row r="54" spans="2:12" ht="15" customHeight="1" x14ac:dyDescent="0.25">
      <c r="B54" s="144"/>
      <c r="C54" s="793" t="s">
        <v>4045</v>
      </c>
      <c r="D54" s="793"/>
      <c r="E54" s="793"/>
      <c r="F54" s="793"/>
      <c r="G54" s="793"/>
      <c r="H54" s="793"/>
      <c r="I54" s="793"/>
      <c r="J54" s="794"/>
      <c r="K54" s="145">
        <f>SUM(K44:K53)</f>
        <v>0</v>
      </c>
      <c r="L54" s="145">
        <f>SUM(L44:L53)</f>
        <v>0</v>
      </c>
    </row>
    <row r="55" spans="2:12" ht="15" customHeight="1" x14ac:dyDescent="0.25">
      <c r="B55" s="734" t="s">
        <v>4011</v>
      </c>
      <c r="C55" s="735"/>
      <c r="D55" s="735"/>
      <c r="E55" s="735"/>
      <c r="F55" s="735"/>
      <c r="G55" s="735"/>
      <c r="H55" s="735"/>
      <c r="I55" s="735"/>
      <c r="J55" s="735"/>
      <c r="K55" s="825" t="s">
        <v>3909</v>
      </c>
      <c r="L55" s="825"/>
    </row>
    <row r="56" spans="2:12" ht="15" customHeight="1" x14ac:dyDescent="0.25">
      <c r="B56" s="798" t="s">
        <v>3984</v>
      </c>
      <c r="C56" s="799"/>
      <c r="D56" s="799"/>
      <c r="E56" s="799"/>
      <c r="F56" s="799"/>
      <c r="G56" s="799"/>
      <c r="H56" s="800"/>
      <c r="I56" s="136" t="s">
        <v>3980</v>
      </c>
      <c r="J56" s="136" t="s">
        <v>3981</v>
      </c>
      <c r="K56" s="136" t="s">
        <v>3982</v>
      </c>
      <c r="L56" s="138" t="s">
        <v>3794</v>
      </c>
    </row>
    <row r="57" spans="2:12" ht="15" customHeight="1" x14ac:dyDescent="0.25">
      <c r="B57" s="139">
        <v>1</v>
      </c>
      <c r="C57" s="791"/>
      <c r="D57" s="791"/>
      <c r="E57" s="791"/>
      <c r="F57" s="791"/>
      <c r="G57" s="791"/>
      <c r="H57" s="792"/>
      <c r="I57" s="16"/>
      <c r="J57" s="17"/>
      <c r="K57" s="45">
        <f t="shared" ref="K57:K66" si="8">L57</f>
        <v>0</v>
      </c>
      <c r="L57" s="143">
        <f t="shared" ref="L57:L66" si="9">I57*J57</f>
        <v>0</v>
      </c>
    </row>
    <row r="58" spans="2:12" ht="15" customHeight="1" x14ac:dyDescent="0.25">
      <c r="B58" s="139">
        <v>2</v>
      </c>
      <c r="C58" s="791"/>
      <c r="D58" s="791"/>
      <c r="E58" s="791"/>
      <c r="F58" s="791"/>
      <c r="G58" s="791"/>
      <c r="H58" s="792"/>
      <c r="I58" s="16"/>
      <c r="J58" s="17"/>
      <c r="K58" s="45">
        <f t="shared" si="8"/>
        <v>0</v>
      </c>
      <c r="L58" s="143">
        <f t="shared" si="9"/>
        <v>0</v>
      </c>
    </row>
    <row r="59" spans="2:12" ht="15" customHeight="1" x14ac:dyDescent="0.25">
      <c r="B59" s="139">
        <v>3</v>
      </c>
      <c r="C59" s="791"/>
      <c r="D59" s="791"/>
      <c r="E59" s="791"/>
      <c r="F59" s="791"/>
      <c r="G59" s="791"/>
      <c r="H59" s="792"/>
      <c r="I59" s="16"/>
      <c r="J59" s="17"/>
      <c r="K59" s="45">
        <f t="shared" si="8"/>
        <v>0</v>
      </c>
      <c r="L59" s="143">
        <f t="shared" si="9"/>
        <v>0</v>
      </c>
    </row>
    <row r="60" spans="2:12" ht="15" customHeight="1" x14ac:dyDescent="0.25">
      <c r="B60" s="139">
        <v>4</v>
      </c>
      <c r="C60" s="791"/>
      <c r="D60" s="791"/>
      <c r="E60" s="791"/>
      <c r="F60" s="791"/>
      <c r="G60" s="791"/>
      <c r="H60" s="792"/>
      <c r="I60" s="16"/>
      <c r="J60" s="17"/>
      <c r="K60" s="45">
        <f t="shared" si="8"/>
        <v>0</v>
      </c>
      <c r="L60" s="143">
        <f t="shared" si="9"/>
        <v>0</v>
      </c>
    </row>
    <row r="61" spans="2:12" ht="15" customHeight="1" x14ac:dyDescent="0.25">
      <c r="B61" s="139">
        <v>5</v>
      </c>
      <c r="C61" s="791"/>
      <c r="D61" s="791"/>
      <c r="E61" s="791"/>
      <c r="F61" s="791"/>
      <c r="G61" s="791"/>
      <c r="H61" s="792"/>
      <c r="I61" s="16"/>
      <c r="J61" s="17"/>
      <c r="K61" s="45">
        <f t="shared" si="8"/>
        <v>0</v>
      </c>
      <c r="L61" s="143">
        <f t="shared" si="9"/>
        <v>0</v>
      </c>
    </row>
    <row r="62" spans="2:12" ht="15" customHeight="1" x14ac:dyDescent="0.25">
      <c r="B62" s="139">
        <v>6</v>
      </c>
      <c r="C62" s="791"/>
      <c r="D62" s="791"/>
      <c r="E62" s="791"/>
      <c r="F62" s="791"/>
      <c r="G62" s="791"/>
      <c r="H62" s="792"/>
      <c r="I62" s="16"/>
      <c r="J62" s="17"/>
      <c r="K62" s="45">
        <f t="shared" si="8"/>
        <v>0</v>
      </c>
      <c r="L62" s="143">
        <f t="shared" si="9"/>
        <v>0</v>
      </c>
    </row>
    <row r="63" spans="2:12" ht="15" customHeight="1" x14ac:dyDescent="0.25">
      <c r="B63" s="139">
        <v>7</v>
      </c>
      <c r="C63" s="791"/>
      <c r="D63" s="791"/>
      <c r="E63" s="791"/>
      <c r="F63" s="791"/>
      <c r="G63" s="791"/>
      <c r="H63" s="792"/>
      <c r="I63" s="16"/>
      <c r="J63" s="17"/>
      <c r="K63" s="45">
        <f t="shared" si="8"/>
        <v>0</v>
      </c>
      <c r="L63" s="143">
        <f t="shared" si="9"/>
        <v>0</v>
      </c>
    </row>
    <row r="64" spans="2:12" ht="15" customHeight="1" x14ac:dyDescent="0.25">
      <c r="B64" s="139">
        <v>8</v>
      </c>
      <c r="C64" s="791"/>
      <c r="D64" s="791"/>
      <c r="E64" s="791"/>
      <c r="F64" s="791"/>
      <c r="G64" s="791"/>
      <c r="H64" s="792"/>
      <c r="I64" s="16"/>
      <c r="J64" s="17"/>
      <c r="K64" s="45">
        <f t="shared" si="8"/>
        <v>0</v>
      </c>
      <c r="L64" s="143">
        <f t="shared" si="9"/>
        <v>0</v>
      </c>
    </row>
    <row r="65" spans="2:12" ht="15" customHeight="1" x14ac:dyDescent="0.25">
      <c r="B65" s="139">
        <v>9</v>
      </c>
      <c r="C65" s="791"/>
      <c r="D65" s="791"/>
      <c r="E65" s="791"/>
      <c r="F65" s="791"/>
      <c r="G65" s="791"/>
      <c r="H65" s="792"/>
      <c r="I65" s="16"/>
      <c r="J65" s="17"/>
      <c r="K65" s="45">
        <f t="shared" si="8"/>
        <v>0</v>
      </c>
      <c r="L65" s="143">
        <f t="shared" si="9"/>
        <v>0</v>
      </c>
    </row>
    <row r="66" spans="2:12" ht="15" customHeight="1" x14ac:dyDescent="0.25">
      <c r="B66" s="139">
        <v>10</v>
      </c>
      <c r="C66" s="791"/>
      <c r="D66" s="791"/>
      <c r="E66" s="791"/>
      <c r="F66" s="791"/>
      <c r="G66" s="791"/>
      <c r="H66" s="792"/>
      <c r="I66" s="16"/>
      <c r="J66" s="17"/>
      <c r="K66" s="45">
        <f t="shared" si="8"/>
        <v>0</v>
      </c>
      <c r="L66" s="143">
        <f t="shared" si="9"/>
        <v>0</v>
      </c>
    </row>
    <row r="67" spans="2:12" ht="15" customHeight="1" x14ac:dyDescent="0.25">
      <c r="B67" s="144"/>
      <c r="C67" s="793" t="s">
        <v>4046</v>
      </c>
      <c r="D67" s="793"/>
      <c r="E67" s="793"/>
      <c r="F67" s="793"/>
      <c r="G67" s="793"/>
      <c r="H67" s="793"/>
      <c r="I67" s="793"/>
      <c r="J67" s="794"/>
      <c r="K67" s="145">
        <f>SUM(K57:K66)</f>
        <v>0</v>
      </c>
      <c r="L67" s="145">
        <f>SUM(L57:L66)</f>
        <v>0</v>
      </c>
    </row>
    <row r="68" spans="2:12" hidden="1" x14ac:dyDescent="0.25">
      <c r="B68" s="734" t="s">
        <v>4047</v>
      </c>
      <c r="C68" s="735"/>
      <c r="D68" s="735"/>
      <c r="E68" s="735"/>
      <c r="F68" s="735"/>
      <c r="G68" s="735"/>
      <c r="H68" s="735"/>
      <c r="I68" s="735"/>
      <c r="J68" s="735"/>
      <c r="K68" s="825" t="s">
        <v>3909</v>
      </c>
      <c r="L68" s="825"/>
    </row>
    <row r="69" spans="2:12" hidden="1" x14ac:dyDescent="0.25">
      <c r="B69" s="798" t="s">
        <v>3984</v>
      </c>
      <c r="C69" s="799"/>
      <c r="D69" s="799"/>
      <c r="E69" s="799"/>
      <c r="F69" s="799"/>
      <c r="G69" s="799"/>
      <c r="H69" s="800"/>
      <c r="I69" s="136" t="s">
        <v>3980</v>
      </c>
      <c r="J69" s="136" t="s">
        <v>3981</v>
      </c>
      <c r="K69" s="136" t="s">
        <v>3982</v>
      </c>
      <c r="L69" s="138" t="s">
        <v>3794</v>
      </c>
    </row>
    <row r="70" spans="2:12" hidden="1" x14ac:dyDescent="0.25">
      <c r="B70" s="139">
        <v>1</v>
      </c>
      <c r="C70" s="791"/>
      <c r="D70" s="791"/>
      <c r="E70" s="791"/>
      <c r="F70" s="791"/>
      <c r="G70" s="791"/>
      <c r="H70" s="792"/>
      <c r="I70" s="16"/>
      <c r="J70" s="17"/>
      <c r="K70" s="45">
        <f t="shared" ref="K70:K79" si="10">L70</f>
        <v>0</v>
      </c>
      <c r="L70" s="143">
        <f t="shared" ref="L70:L79" si="11">I70*J70</f>
        <v>0</v>
      </c>
    </row>
    <row r="71" spans="2:12" hidden="1" x14ac:dyDescent="0.25">
      <c r="B71" s="139">
        <v>2</v>
      </c>
      <c r="C71" s="791"/>
      <c r="D71" s="791"/>
      <c r="E71" s="791"/>
      <c r="F71" s="791"/>
      <c r="G71" s="791"/>
      <c r="H71" s="792"/>
      <c r="I71" s="16"/>
      <c r="J71" s="17"/>
      <c r="K71" s="45">
        <f t="shared" si="10"/>
        <v>0</v>
      </c>
      <c r="L71" s="143">
        <f t="shared" si="11"/>
        <v>0</v>
      </c>
    </row>
    <row r="72" spans="2:12" hidden="1" x14ac:dyDescent="0.25">
      <c r="B72" s="139">
        <v>3</v>
      </c>
      <c r="C72" s="791"/>
      <c r="D72" s="791"/>
      <c r="E72" s="791"/>
      <c r="F72" s="791"/>
      <c r="G72" s="791"/>
      <c r="H72" s="792"/>
      <c r="I72" s="16"/>
      <c r="J72" s="17"/>
      <c r="K72" s="45">
        <f t="shared" si="10"/>
        <v>0</v>
      </c>
      <c r="L72" s="143">
        <f t="shared" si="11"/>
        <v>0</v>
      </c>
    </row>
    <row r="73" spans="2:12" hidden="1" x14ac:dyDescent="0.25">
      <c r="B73" s="139">
        <v>4</v>
      </c>
      <c r="C73" s="791"/>
      <c r="D73" s="791"/>
      <c r="E73" s="791"/>
      <c r="F73" s="791"/>
      <c r="G73" s="791"/>
      <c r="H73" s="792"/>
      <c r="I73" s="16"/>
      <c r="J73" s="17"/>
      <c r="K73" s="45">
        <f t="shared" si="10"/>
        <v>0</v>
      </c>
      <c r="L73" s="143">
        <f t="shared" si="11"/>
        <v>0</v>
      </c>
    </row>
    <row r="74" spans="2:12" hidden="1" x14ac:dyDescent="0.25">
      <c r="B74" s="139">
        <v>5</v>
      </c>
      <c r="C74" s="791"/>
      <c r="D74" s="791"/>
      <c r="E74" s="791"/>
      <c r="F74" s="791"/>
      <c r="G74" s="791"/>
      <c r="H74" s="792"/>
      <c r="I74" s="16"/>
      <c r="J74" s="17"/>
      <c r="K74" s="45">
        <f t="shared" si="10"/>
        <v>0</v>
      </c>
      <c r="L74" s="143">
        <f t="shared" si="11"/>
        <v>0</v>
      </c>
    </row>
    <row r="75" spans="2:12" hidden="1" x14ac:dyDescent="0.25">
      <c r="B75" s="139">
        <v>6</v>
      </c>
      <c r="C75" s="791"/>
      <c r="D75" s="791"/>
      <c r="E75" s="791"/>
      <c r="F75" s="791"/>
      <c r="G75" s="791"/>
      <c r="H75" s="792"/>
      <c r="I75" s="16"/>
      <c r="J75" s="17"/>
      <c r="K75" s="45">
        <f t="shared" si="10"/>
        <v>0</v>
      </c>
      <c r="L75" s="143">
        <f t="shared" si="11"/>
        <v>0</v>
      </c>
    </row>
    <row r="76" spans="2:12" hidden="1" x14ac:dyDescent="0.25">
      <c r="B76" s="139">
        <v>7</v>
      </c>
      <c r="C76" s="791"/>
      <c r="D76" s="791"/>
      <c r="E76" s="791"/>
      <c r="F76" s="791"/>
      <c r="G76" s="791"/>
      <c r="H76" s="792"/>
      <c r="I76" s="16"/>
      <c r="J76" s="17"/>
      <c r="K76" s="45">
        <f t="shared" si="10"/>
        <v>0</v>
      </c>
      <c r="L76" s="143">
        <f t="shared" si="11"/>
        <v>0</v>
      </c>
    </row>
    <row r="77" spans="2:12" hidden="1" x14ac:dyDescent="0.25">
      <c r="B77" s="139">
        <v>8</v>
      </c>
      <c r="C77" s="791"/>
      <c r="D77" s="791"/>
      <c r="E77" s="791"/>
      <c r="F77" s="791"/>
      <c r="G77" s="791"/>
      <c r="H77" s="792"/>
      <c r="I77" s="16"/>
      <c r="J77" s="17"/>
      <c r="K77" s="45">
        <f t="shared" si="10"/>
        <v>0</v>
      </c>
      <c r="L77" s="143">
        <f t="shared" si="11"/>
        <v>0</v>
      </c>
    </row>
    <row r="78" spans="2:12" hidden="1" x14ac:dyDescent="0.25">
      <c r="B78" s="139">
        <v>9</v>
      </c>
      <c r="C78" s="791"/>
      <c r="D78" s="791"/>
      <c r="E78" s="791"/>
      <c r="F78" s="791"/>
      <c r="G78" s="791"/>
      <c r="H78" s="792"/>
      <c r="I78" s="16"/>
      <c r="J78" s="17"/>
      <c r="K78" s="45">
        <f t="shared" si="10"/>
        <v>0</v>
      </c>
      <c r="L78" s="143">
        <f t="shared" si="11"/>
        <v>0</v>
      </c>
    </row>
    <row r="79" spans="2:12" hidden="1" x14ac:dyDescent="0.25">
      <c r="B79" s="139">
        <v>10</v>
      </c>
      <c r="C79" s="791"/>
      <c r="D79" s="791"/>
      <c r="E79" s="791"/>
      <c r="F79" s="791"/>
      <c r="G79" s="791"/>
      <c r="H79" s="792"/>
      <c r="I79" s="16"/>
      <c r="J79" s="17"/>
      <c r="K79" s="45">
        <f t="shared" si="10"/>
        <v>0</v>
      </c>
      <c r="L79" s="143">
        <f t="shared" si="11"/>
        <v>0</v>
      </c>
    </row>
    <row r="80" spans="2:12" hidden="1" x14ac:dyDescent="0.25">
      <c r="B80" s="144"/>
      <c r="C80" s="793" t="s">
        <v>4048</v>
      </c>
      <c r="D80" s="793"/>
      <c r="E80" s="793"/>
      <c r="F80" s="793"/>
      <c r="G80" s="793"/>
      <c r="H80" s="793"/>
      <c r="I80" s="793"/>
      <c r="J80" s="794"/>
      <c r="K80" s="145">
        <f>SUM(K70:K79)</f>
        <v>0</v>
      </c>
      <c r="L80" s="145">
        <f>SUM(L70:L79)</f>
        <v>0</v>
      </c>
    </row>
    <row r="81" spans="2:12" ht="15" customHeight="1" x14ac:dyDescent="0.25">
      <c r="B81" s="734" t="s">
        <v>4021</v>
      </c>
      <c r="C81" s="735"/>
      <c r="D81" s="735"/>
      <c r="E81" s="735"/>
      <c r="F81" s="735"/>
      <c r="G81" s="735"/>
      <c r="H81" s="735"/>
      <c r="I81" s="735"/>
      <c r="J81" s="735"/>
      <c r="K81" s="825" t="s">
        <v>3909</v>
      </c>
      <c r="L81" s="825"/>
    </row>
    <row r="82" spans="2:12" ht="15" customHeight="1" x14ac:dyDescent="0.25">
      <c r="B82" s="798" t="s">
        <v>3984</v>
      </c>
      <c r="C82" s="799"/>
      <c r="D82" s="799"/>
      <c r="E82" s="799"/>
      <c r="F82" s="799"/>
      <c r="G82" s="799"/>
      <c r="H82" s="800"/>
      <c r="I82" s="136" t="s">
        <v>3980</v>
      </c>
      <c r="J82" s="136" t="s">
        <v>3981</v>
      </c>
      <c r="K82" s="136" t="s">
        <v>3982</v>
      </c>
      <c r="L82" s="138" t="s">
        <v>3794</v>
      </c>
    </row>
    <row r="83" spans="2:12" ht="15" customHeight="1" x14ac:dyDescent="0.25">
      <c r="B83" s="139">
        <v>1</v>
      </c>
      <c r="C83" s="791"/>
      <c r="D83" s="791"/>
      <c r="E83" s="791"/>
      <c r="F83" s="791"/>
      <c r="G83" s="791"/>
      <c r="H83" s="792"/>
      <c r="I83" s="16"/>
      <c r="J83" s="17"/>
      <c r="K83" s="45">
        <f t="shared" ref="K83:K92" si="12">L83</f>
        <v>0</v>
      </c>
      <c r="L83" s="143">
        <f t="shared" ref="L83:L92" si="13">I83*J83</f>
        <v>0</v>
      </c>
    </row>
    <row r="84" spans="2:12" ht="15" customHeight="1" x14ac:dyDescent="0.25">
      <c r="B84" s="139">
        <v>2</v>
      </c>
      <c r="C84" s="791"/>
      <c r="D84" s="791"/>
      <c r="E84" s="791"/>
      <c r="F84" s="791"/>
      <c r="G84" s="791"/>
      <c r="H84" s="792"/>
      <c r="I84" s="16"/>
      <c r="J84" s="17"/>
      <c r="K84" s="45">
        <f t="shared" si="12"/>
        <v>0</v>
      </c>
      <c r="L84" s="143">
        <f t="shared" si="13"/>
        <v>0</v>
      </c>
    </row>
    <row r="85" spans="2:12" ht="15" customHeight="1" x14ac:dyDescent="0.25">
      <c r="B85" s="139">
        <v>3</v>
      </c>
      <c r="C85" s="791"/>
      <c r="D85" s="791"/>
      <c r="E85" s="791"/>
      <c r="F85" s="791"/>
      <c r="G85" s="791"/>
      <c r="H85" s="792"/>
      <c r="I85" s="16"/>
      <c r="J85" s="17"/>
      <c r="K85" s="45">
        <f t="shared" si="12"/>
        <v>0</v>
      </c>
      <c r="L85" s="143">
        <f t="shared" si="13"/>
        <v>0</v>
      </c>
    </row>
    <row r="86" spans="2:12" ht="15" customHeight="1" x14ac:dyDescent="0.25">
      <c r="B86" s="139">
        <v>4</v>
      </c>
      <c r="C86" s="791"/>
      <c r="D86" s="791"/>
      <c r="E86" s="791"/>
      <c r="F86" s="791"/>
      <c r="G86" s="791"/>
      <c r="H86" s="792"/>
      <c r="I86" s="16"/>
      <c r="J86" s="17"/>
      <c r="K86" s="45">
        <f t="shared" si="12"/>
        <v>0</v>
      </c>
      <c r="L86" s="143">
        <f t="shared" si="13"/>
        <v>0</v>
      </c>
    </row>
    <row r="87" spans="2:12" ht="15" customHeight="1" x14ac:dyDescent="0.25">
      <c r="B87" s="139">
        <v>5</v>
      </c>
      <c r="C87" s="791"/>
      <c r="D87" s="791"/>
      <c r="E87" s="791"/>
      <c r="F87" s="791"/>
      <c r="G87" s="791"/>
      <c r="H87" s="792"/>
      <c r="I87" s="16"/>
      <c r="J87" s="17"/>
      <c r="K87" s="45">
        <f t="shared" si="12"/>
        <v>0</v>
      </c>
      <c r="L87" s="143">
        <f t="shared" si="13"/>
        <v>0</v>
      </c>
    </row>
    <row r="88" spans="2:12" ht="15" customHeight="1" x14ac:dyDescent="0.25">
      <c r="B88" s="139">
        <v>6</v>
      </c>
      <c r="C88" s="791"/>
      <c r="D88" s="791"/>
      <c r="E88" s="791"/>
      <c r="F88" s="791"/>
      <c r="G88" s="791"/>
      <c r="H88" s="792"/>
      <c r="I88" s="16"/>
      <c r="J88" s="17"/>
      <c r="K88" s="45">
        <f t="shared" si="12"/>
        <v>0</v>
      </c>
      <c r="L88" s="143">
        <f t="shared" si="13"/>
        <v>0</v>
      </c>
    </row>
    <row r="89" spans="2:12" ht="15" customHeight="1" x14ac:dyDescent="0.25">
      <c r="B89" s="139">
        <v>7</v>
      </c>
      <c r="C89" s="791"/>
      <c r="D89" s="791"/>
      <c r="E89" s="791"/>
      <c r="F89" s="791"/>
      <c r="G89" s="791"/>
      <c r="H89" s="792"/>
      <c r="I89" s="16"/>
      <c r="J89" s="17"/>
      <c r="K89" s="45">
        <f t="shared" si="12"/>
        <v>0</v>
      </c>
      <c r="L89" s="143">
        <f t="shared" si="13"/>
        <v>0</v>
      </c>
    </row>
    <row r="90" spans="2:12" ht="15" customHeight="1" x14ac:dyDescent="0.25">
      <c r="B90" s="139">
        <v>8</v>
      </c>
      <c r="C90" s="791"/>
      <c r="D90" s="791"/>
      <c r="E90" s="791"/>
      <c r="F90" s="791"/>
      <c r="G90" s="791"/>
      <c r="H90" s="792"/>
      <c r="I90" s="16"/>
      <c r="J90" s="17"/>
      <c r="K90" s="45">
        <f t="shared" si="12"/>
        <v>0</v>
      </c>
      <c r="L90" s="143">
        <f t="shared" si="13"/>
        <v>0</v>
      </c>
    </row>
    <row r="91" spans="2:12" ht="15" customHeight="1" x14ac:dyDescent="0.25">
      <c r="B91" s="139">
        <v>9</v>
      </c>
      <c r="C91" s="791"/>
      <c r="D91" s="791"/>
      <c r="E91" s="791"/>
      <c r="F91" s="791"/>
      <c r="G91" s="791"/>
      <c r="H91" s="792"/>
      <c r="I91" s="16"/>
      <c r="J91" s="17"/>
      <c r="K91" s="45">
        <f t="shared" si="12"/>
        <v>0</v>
      </c>
      <c r="L91" s="143">
        <f t="shared" si="13"/>
        <v>0</v>
      </c>
    </row>
    <row r="92" spans="2:12" ht="15" customHeight="1" x14ac:dyDescent="0.25">
      <c r="B92" s="139">
        <v>10</v>
      </c>
      <c r="C92" s="791"/>
      <c r="D92" s="791"/>
      <c r="E92" s="791"/>
      <c r="F92" s="791"/>
      <c r="G92" s="791"/>
      <c r="H92" s="792"/>
      <c r="I92" s="16"/>
      <c r="J92" s="17"/>
      <c r="K92" s="45">
        <f t="shared" si="12"/>
        <v>0</v>
      </c>
      <c r="L92" s="143">
        <f t="shared" si="13"/>
        <v>0</v>
      </c>
    </row>
    <row r="93" spans="2:12" ht="15" customHeight="1" x14ac:dyDescent="0.25">
      <c r="B93" s="144"/>
      <c r="C93" s="793" t="s">
        <v>4049</v>
      </c>
      <c r="D93" s="793"/>
      <c r="E93" s="793"/>
      <c r="F93" s="793"/>
      <c r="G93" s="793"/>
      <c r="H93" s="793"/>
      <c r="I93" s="793"/>
      <c r="J93" s="794"/>
      <c r="K93" s="145">
        <f>SUM(K83:K92)</f>
        <v>0</v>
      </c>
      <c r="L93" s="145">
        <f>SUM(L83:L92)</f>
        <v>0</v>
      </c>
    </row>
    <row r="94" spans="2:12" ht="15" customHeight="1" x14ac:dyDescent="0.25">
      <c r="B94" s="56"/>
      <c r="C94" s="823" t="s">
        <v>4050</v>
      </c>
      <c r="D94" s="823"/>
      <c r="E94" s="823"/>
      <c r="F94" s="823"/>
      <c r="G94" s="823"/>
      <c r="H94" s="823"/>
      <c r="I94" s="823"/>
      <c r="J94" s="824"/>
      <c r="K94" s="149">
        <f>SUM(K15,K28,K41,K54,K67,K80,K93)</f>
        <v>0</v>
      </c>
      <c r="L94" s="149">
        <f>SUM(L15,L28,L41,L54,L67,L80,L93)</f>
        <v>0</v>
      </c>
    </row>
    <row r="96" spans="2:12" ht="15" hidden="1" customHeight="1" x14ac:dyDescent="0.25">
      <c r="B96" s="772" t="s">
        <v>4051</v>
      </c>
      <c r="C96" s="773"/>
      <c r="D96" s="773"/>
      <c r="E96" s="773"/>
      <c r="F96" s="773"/>
      <c r="G96" s="773"/>
      <c r="H96" s="773"/>
      <c r="I96" s="773"/>
      <c r="J96" s="773"/>
      <c r="K96" s="773"/>
      <c r="L96" s="774"/>
    </row>
    <row r="97" spans="2:12" ht="15" hidden="1" customHeight="1" x14ac:dyDescent="0.25">
      <c r="B97" s="772" t="s">
        <v>4029</v>
      </c>
      <c r="C97" s="773"/>
      <c r="D97" s="773"/>
      <c r="E97" s="773"/>
      <c r="F97" s="773"/>
      <c r="G97" s="773"/>
      <c r="H97" s="773"/>
      <c r="I97" s="773"/>
      <c r="J97" s="773"/>
      <c r="K97" s="826" t="s">
        <v>3909</v>
      </c>
      <c r="L97" s="826"/>
    </row>
    <row r="98" spans="2:12" ht="15" hidden="1" customHeight="1" x14ac:dyDescent="0.25">
      <c r="B98" s="815" t="s">
        <v>3984</v>
      </c>
      <c r="C98" s="816"/>
      <c r="D98" s="816"/>
      <c r="E98" s="816"/>
      <c r="F98" s="816"/>
      <c r="G98" s="816"/>
      <c r="H98" s="817"/>
      <c r="I98" s="151" t="s">
        <v>3980</v>
      </c>
      <c r="J98" s="533" t="s">
        <v>3981</v>
      </c>
      <c r="K98" s="151" t="s">
        <v>3982</v>
      </c>
      <c r="L98" s="153" t="s">
        <v>3794</v>
      </c>
    </row>
    <row r="99" spans="2:12" ht="15" hidden="1" customHeight="1" x14ac:dyDescent="0.25">
      <c r="B99" s="154">
        <v>1</v>
      </c>
      <c r="C99" s="685"/>
      <c r="D99" s="685"/>
      <c r="E99" s="685"/>
      <c r="F99" s="685"/>
      <c r="G99" s="685"/>
      <c r="H99" s="804"/>
      <c r="I99" s="140"/>
      <c r="J99" s="141"/>
      <c r="K99" s="157" t="e">
        <f>L99-#REF!-#REF!</f>
        <v>#REF!</v>
      </c>
      <c r="L99" s="158">
        <f t="shared" ref="L99:L108" si="14">I99*J99</f>
        <v>0</v>
      </c>
    </row>
    <row r="100" spans="2:12" ht="15" hidden="1" customHeight="1" x14ac:dyDescent="0.25">
      <c r="B100" s="154">
        <v>2</v>
      </c>
      <c r="C100" s="685"/>
      <c r="D100" s="685"/>
      <c r="E100" s="685"/>
      <c r="F100" s="685"/>
      <c r="G100" s="685"/>
      <c r="H100" s="804"/>
      <c r="I100" s="140"/>
      <c r="J100" s="141"/>
      <c r="K100" s="157" t="e">
        <f>L100-#REF!-#REF!</f>
        <v>#REF!</v>
      </c>
      <c r="L100" s="158">
        <f t="shared" si="14"/>
        <v>0</v>
      </c>
    </row>
    <row r="101" spans="2:12" ht="15" hidden="1" customHeight="1" x14ac:dyDescent="0.25">
      <c r="B101" s="154">
        <v>3</v>
      </c>
      <c r="C101" s="685"/>
      <c r="D101" s="685"/>
      <c r="E101" s="685"/>
      <c r="F101" s="685"/>
      <c r="G101" s="685"/>
      <c r="H101" s="804"/>
      <c r="I101" s="140"/>
      <c r="J101" s="141"/>
      <c r="K101" s="157" t="e">
        <f>L101-#REF!-#REF!</f>
        <v>#REF!</v>
      </c>
      <c r="L101" s="158">
        <f t="shared" si="14"/>
        <v>0</v>
      </c>
    </row>
    <row r="102" spans="2:12" ht="15" hidden="1" customHeight="1" x14ac:dyDescent="0.25">
      <c r="B102" s="154">
        <v>4</v>
      </c>
      <c r="C102" s="685"/>
      <c r="D102" s="685"/>
      <c r="E102" s="685"/>
      <c r="F102" s="685"/>
      <c r="G102" s="685"/>
      <c r="H102" s="804"/>
      <c r="I102" s="140"/>
      <c r="J102" s="141"/>
      <c r="K102" s="157" t="e">
        <f>L102-#REF!-#REF!</f>
        <v>#REF!</v>
      </c>
      <c r="L102" s="158">
        <f t="shared" si="14"/>
        <v>0</v>
      </c>
    </row>
    <row r="103" spans="2:12" ht="15" hidden="1" customHeight="1" x14ac:dyDescent="0.25">
      <c r="B103" s="154">
        <v>5</v>
      </c>
      <c r="C103" s="685"/>
      <c r="D103" s="685"/>
      <c r="E103" s="685"/>
      <c r="F103" s="685"/>
      <c r="G103" s="685"/>
      <c r="H103" s="804"/>
      <c r="I103" s="140"/>
      <c r="J103" s="141"/>
      <c r="K103" s="157" t="e">
        <f>L103-#REF!-#REF!</f>
        <v>#REF!</v>
      </c>
      <c r="L103" s="158">
        <f t="shared" si="14"/>
        <v>0</v>
      </c>
    </row>
    <row r="104" spans="2:12" ht="15" hidden="1" customHeight="1" x14ac:dyDescent="0.25">
      <c r="B104" s="154">
        <v>6</v>
      </c>
      <c r="C104" s="685"/>
      <c r="D104" s="685"/>
      <c r="E104" s="685"/>
      <c r="F104" s="685"/>
      <c r="G104" s="685"/>
      <c r="H104" s="804"/>
      <c r="I104" s="140"/>
      <c r="J104" s="141"/>
      <c r="K104" s="157" t="e">
        <f>L104-#REF!-#REF!</f>
        <v>#REF!</v>
      </c>
      <c r="L104" s="158">
        <f t="shared" si="14"/>
        <v>0</v>
      </c>
    </row>
    <row r="105" spans="2:12" ht="15" hidden="1" customHeight="1" x14ac:dyDescent="0.25">
      <c r="B105" s="154">
        <v>7</v>
      </c>
      <c r="C105" s="685"/>
      <c r="D105" s="685"/>
      <c r="E105" s="685"/>
      <c r="F105" s="685"/>
      <c r="G105" s="685"/>
      <c r="H105" s="804"/>
      <c r="I105" s="140"/>
      <c r="J105" s="141"/>
      <c r="K105" s="157" t="e">
        <f>L105-#REF!-#REF!</f>
        <v>#REF!</v>
      </c>
      <c r="L105" s="158">
        <f t="shared" si="14"/>
        <v>0</v>
      </c>
    </row>
    <row r="106" spans="2:12" ht="15" hidden="1" customHeight="1" x14ac:dyDescent="0.25">
      <c r="B106" s="154">
        <v>8</v>
      </c>
      <c r="C106" s="685"/>
      <c r="D106" s="685"/>
      <c r="E106" s="685"/>
      <c r="F106" s="685"/>
      <c r="G106" s="685"/>
      <c r="H106" s="804"/>
      <c r="I106" s="140"/>
      <c r="J106" s="141"/>
      <c r="K106" s="157" t="e">
        <f>L106-#REF!-#REF!</f>
        <v>#REF!</v>
      </c>
      <c r="L106" s="158">
        <f t="shared" si="14"/>
        <v>0</v>
      </c>
    </row>
    <row r="107" spans="2:12" ht="15" hidden="1" customHeight="1" x14ac:dyDescent="0.25">
      <c r="B107" s="154">
        <v>9</v>
      </c>
      <c r="C107" s="685"/>
      <c r="D107" s="685"/>
      <c r="E107" s="685"/>
      <c r="F107" s="685"/>
      <c r="G107" s="685"/>
      <c r="H107" s="804"/>
      <c r="I107" s="140"/>
      <c r="J107" s="141"/>
      <c r="K107" s="157" t="e">
        <f>L107-#REF!-#REF!</f>
        <v>#REF!</v>
      </c>
      <c r="L107" s="158">
        <f t="shared" si="14"/>
        <v>0</v>
      </c>
    </row>
    <row r="108" spans="2:12" ht="15" hidden="1" customHeight="1" x14ac:dyDescent="0.25">
      <c r="B108" s="154">
        <v>10</v>
      </c>
      <c r="C108" s="685"/>
      <c r="D108" s="685"/>
      <c r="E108" s="685"/>
      <c r="F108" s="685"/>
      <c r="G108" s="685"/>
      <c r="H108" s="804"/>
      <c r="I108" s="140"/>
      <c r="J108" s="141"/>
      <c r="K108" s="157" t="e">
        <f>L108-#REF!-#REF!</f>
        <v>#REF!</v>
      </c>
      <c r="L108" s="158">
        <f t="shared" si="14"/>
        <v>0</v>
      </c>
    </row>
    <row r="109" spans="2:12" ht="15" hidden="1" customHeight="1" x14ac:dyDescent="0.25">
      <c r="B109" s="159"/>
      <c r="C109" s="811" t="s">
        <v>4042</v>
      </c>
      <c r="D109" s="811"/>
      <c r="E109" s="811"/>
      <c r="F109" s="811"/>
      <c r="G109" s="811"/>
      <c r="H109" s="811"/>
      <c r="I109" s="811"/>
      <c r="J109" s="812"/>
      <c r="K109" s="160" t="e">
        <f>SUM(K99:K108)</f>
        <v>#REF!</v>
      </c>
      <c r="L109" s="161">
        <f>SUM(L99:L108)</f>
        <v>0</v>
      </c>
    </row>
    <row r="110" spans="2:12" ht="15" hidden="1" customHeight="1" x14ac:dyDescent="0.25">
      <c r="B110" s="772" t="s">
        <v>4031</v>
      </c>
      <c r="C110" s="773"/>
      <c r="D110" s="773"/>
      <c r="E110" s="773"/>
      <c r="F110" s="773"/>
      <c r="G110" s="773"/>
      <c r="H110" s="773"/>
      <c r="I110" s="773"/>
      <c r="J110" s="773"/>
      <c r="K110" s="826" t="s">
        <v>3909</v>
      </c>
      <c r="L110" s="826"/>
    </row>
    <row r="111" spans="2:12" ht="15" hidden="1" customHeight="1" x14ac:dyDescent="0.25">
      <c r="B111" s="815" t="s">
        <v>3984</v>
      </c>
      <c r="C111" s="816"/>
      <c r="D111" s="816"/>
      <c r="E111" s="816"/>
      <c r="F111" s="816"/>
      <c r="G111" s="816"/>
      <c r="H111" s="817"/>
      <c r="I111" s="151" t="s">
        <v>3980</v>
      </c>
      <c r="J111" s="151" t="s">
        <v>3981</v>
      </c>
      <c r="K111" s="151" t="s">
        <v>3982</v>
      </c>
      <c r="L111" s="153" t="s">
        <v>3794</v>
      </c>
    </row>
    <row r="112" spans="2:12" ht="15" hidden="1" customHeight="1" x14ac:dyDescent="0.25">
      <c r="B112" s="154">
        <v>1</v>
      </c>
      <c r="C112" s="685"/>
      <c r="D112" s="685"/>
      <c r="E112" s="685"/>
      <c r="F112" s="685"/>
      <c r="G112" s="685"/>
      <c r="H112" s="804"/>
      <c r="I112" s="140"/>
      <c r="J112" s="141"/>
      <c r="K112" s="157" t="e">
        <f>L112-#REF!-#REF!</f>
        <v>#REF!</v>
      </c>
      <c r="L112" s="158">
        <f t="shared" ref="L112:L121" si="15">I112*J112</f>
        <v>0</v>
      </c>
    </row>
    <row r="113" spans="2:12" ht="15" hidden="1" customHeight="1" x14ac:dyDescent="0.25">
      <c r="B113" s="154">
        <v>2</v>
      </c>
      <c r="C113" s="685"/>
      <c r="D113" s="685"/>
      <c r="E113" s="685"/>
      <c r="F113" s="685"/>
      <c r="G113" s="685"/>
      <c r="H113" s="804"/>
      <c r="I113" s="140"/>
      <c r="J113" s="141"/>
      <c r="K113" s="157" t="e">
        <f>L113-#REF!-#REF!</f>
        <v>#REF!</v>
      </c>
      <c r="L113" s="158">
        <f t="shared" si="15"/>
        <v>0</v>
      </c>
    </row>
    <row r="114" spans="2:12" ht="15" hidden="1" customHeight="1" x14ac:dyDescent="0.25">
      <c r="B114" s="154">
        <v>3</v>
      </c>
      <c r="C114" s="685"/>
      <c r="D114" s="685"/>
      <c r="E114" s="685"/>
      <c r="F114" s="685"/>
      <c r="G114" s="685"/>
      <c r="H114" s="804"/>
      <c r="I114" s="140"/>
      <c r="J114" s="141"/>
      <c r="K114" s="157" t="e">
        <f>L114-#REF!-#REF!</f>
        <v>#REF!</v>
      </c>
      <c r="L114" s="158">
        <f t="shared" si="15"/>
        <v>0</v>
      </c>
    </row>
    <row r="115" spans="2:12" ht="15" hidden="1" customHeight="1" x14ac:dyDescent="0.25">
      <c r="B115" s="154">
        <v>4</v>
      </c>
      <c r="C115" s="685"/>
      <c r="D115" s="685"/>
      <c r="E115" s="685"/>
      <c r="F115" s="685"/>
      <c r="G115" s="685"/>
      <c r="H115" s="804"/>
      <c r="I115" s="140"/>
      <c r="J115" s="141"/>
      <c r="K115" s="157" t="e">
        <f>L115-#REF!-#REF!</f>
        <v>#REF!</v>
      </c>
      <c r="L115" s="158">
        <f t="shared" si="15"/>
        <v>0</v>
      </c>
    </row>
    <row r="116" spans="2:12" ht="15" hidden="1" customHeight="1" x14ac:dyDescent="0.25">
      <c r="B116" s="154">
        <v>5</v>
      </c>
      <c r="C116" s="685"/>
      <c r="D116" s="685"/>
      <c r="E116" s="685"/>
      <c r="F116" s="685"/>
      <c r="G116" s="685"/>
      <c r="H116" s="804"/>
      <c r="I116" s="140"/>
      <c r="J116" s="141"/>
      <c r="K116" s="157" t="e">
        <f>L116-#REF!-#REF!</f>
        <v>#REF!</v>
      </c>
      <c r="L116" s="158">
        <f t="shared" si="15"/>
        <v>0</v>
      </c>
    </row>
    <row r="117" spans="2:12" ht="15" hidden="1" customHeight="1" x14ac:dyDescent="0.25">
      <c r="B117" s="154">
        <v>6</v>
      </c>
      <c r="C117" s="685"/>
      <c r="D117" s="685"/>
      <c r="E117" s="685"/>
      <c r="F117" s="685"/>
      <c r="G117" s="685"/>
      <c r="H117" s="804"/>
      <c r="I117" s="140"/>
      <c r="J117" s="141"/>
      <c r="K117" s="157" t="e">
        <f>L117-#REF!-#REF!</f>
        <v>#REF!</v>
      </c>
      <c r="L117" s="158">
        <f t="shared" si="15"/>
        <v>0</v>
      </c>
    </row>
    <row r="118" spans="2:12" ht="15" hidden="1" customHeight="1" x14ac:dyDescent="0.25">
      <c r="B118" s="154">
        <v>7</v>
      </c>
      <c r="C118" s="685"/>
      <c r="D118" s="685"/>
      <c r="E118" s="685"/>
      <c r="F118" s="685"/>
      <c r="G118" s="685"/>
      <c r="H118" s="804"/>
      <c r="I118" s="140"/>
      <c r="J118" s="141"/>
      <c r="K118" s="157" t="e">
        <f>L118-#REF!-#REF!</f>
        <v>#REF!</v>
      </c>
      <c r="L118" s="158">
        <f t="shared" si="15"/>
        <v>0</v>
      </c>
    </row>
    <row r="119" spans="2:12" ht="15" hidden="1" customHeight="1" x14ac:dyDescent="0.25">
      <c r="B119" s="154">
        <v>8</v>
      </c>
      <c r="C119" s="685"/>
      <c r="D119" s="685"/>
      <c r="E119" s="685"/>
      <c r="F119" s="685"/>
      <c r="G119" s="685"/>
      <c r="H119" s="804"/>
      <c r="I119" s="140"/>
      <c r="J119" s="141"/>
      <c r="K119" s="157" t="e">
        <f>L119-#REF!-#REF!</f>
        <v>#REF!</v>
      </c>
      <c r="L119" s="158">
        <f t="shared" si="15"/>
        <v>0</v>
      </c>
    </row>
    <row r="120" spans="2:12" ht="15" hidden="1" customHeight="1" x14ac:dyDescent="0.25">
      <c r="B120" s="154">
        <v>9</v>
      </c>
      <c r="C120" s="685"/>
      <c r="D120" s="685"/>
      <c r="E120" s="685"/>
      <c r="F120" s="685"/>
      <c r="G120" s="685"/>
      <c r="H120" s="804"/>
      <c r="I120" s="140"/>
      <c r="J120" s="141"/>
      <c r="K120" s="157" t="e">
        <f>L120-#REF!-#REF!</f>
        <v>#REF!</v>
      </c>
      <c r="L120" s="158">
        <f t="shared" si="15"/>
        <v>0</v>
      </c>
    </row>
    <row r="121" spans="2:12" ht="15" hidden="1" customHeight="1" x14ac:dyDescent="0.25">
      <c r="B121" s="154">
        <v>10</v>
      </c>
      <c r="C121" s="685"/>
      <c r="D121" s="685"/>
      <c r="E121" s="685"/>
      <c r="F121" s="685"/>
      <c r="G121" s="685"/>
      <c r="H121" s="804"/>
      <c r="I121" s="140"/>
      <c r="J121" s="141"/>
      <c r="K121" s="157" t="e">
        <f>L121-#REF!-#REF!</f>
        <v>#REF!</v>
      </c>
      <c r="L121" s="158">
        <f t="shared" si="15"/>
        <v>0</v>
      </c>
    </row>
    <row r="122" spans="2:12" ht="15" hidden="1" customHeight="1" x14ac:dyDescent="0.25">
      <c r="B122" s="159"/>
      <c r="C122" s="811" t="s">
        <v>4043</v>
      </c>
      <c r="D122" s="811"/>
      <c r="E122" s="811"/>
      <c r="F122" s="811"/>
      <c r="G122" s="811"/>
      <c r="H122" s="811"/>
      <c r="I122" s="811"/>
      <c r="J122" s="812"/>
      <c r="K122" s="160" t="e">
        <f>SUM(K112:K121)</f>
        <v>#REF!</v>
      </c>
      <c r="L122" s="161">
        <f>SUM(L112:L121)</f>
        <v>0</v>
      </c>
    </row>
    <row r="123" spans="2:12" ht="15" hidden="1" customHeight="1" x14ac:dyDescent="0.25">
      <c r="B123" s="772" t="s">
        <v>4032</v>
      </c>
      <c r="C123" s="773"/>
      <c r="D123" s="773"/>
      <c r="E123" s="773"/>
      <c r="F123" s="773"/>
      <c r="G123" s="773"/>
      <c r="H123" s="773"/>
      <c r="I123" s="773"/>
      <c r="J123" s="773"/>
      <c r="K123" s="826" t="s">
        <v>3909</v>
      </c>
      <c r="L123" s="826"/>
    </row>
    <row r="124" spans="2:12" ht="15" hidden="1" customHeight="1" x14ac:dyDescent="0.25">
      <c r="B124" s="815" t="s">
        <v>3984</v>
      </c>
      <c r="C124" s="816"/>
      <c r="D124" s="816"/>
      <c r="E124" s="816"/>
      <c r="F124" s="816"/>
      <c r="G124" s="816"/>
      <c r="H124" s="817"/>
      <c r="I124" s="151" t="s">
        <v>3980</v>
      </c>
      <c r="J124" s="151" t="s">
        <v>3981</v>
      </c>
      <c r="K124" s="151" t="s">
        <v>3982</v>
      </c>
      <c r="L124" s="153" t="s">
        <v>3794</v>
      </c>
    </row>
    <row r="125" spans="2:12" ht="15" hidden="1" customHeight="1" x14ac:dyDescent="0.25">
      <c r="B125" s="154">
        <v>1</v>
      </c>
      <c r="C125" s="685"/>
      <c r="D125" s="685"/>
      <c r="E125" s="685"/>
      <c r="F125" s="685"/>
      <c r="G125" s="685"/>
      <c r="H125" s="804"/>
      <c r="I125" s="140"/>
      <c r="J125" s="141"/>
      <c r="K125" s="157" t="e">
        <f>L125-#REF!-#REF!</f>
        <v>#REF!</v>
      </c>
      <c r="L125" s="158">
        <f t="shared" ref="L125:L134" si="16">I125*J125</f>
        <v>0</v>
      </c>
    </row>
    <row r="126" spans="2:12" ht="15" hidden="1" customHeight="1" x14ac:dyDescent="0.25">
      <c r="B126" s="154">
        <v>2</v>
      </c>
      <c r="C126" s="685"/>
      <c r="D126" s="685"/>
      <c r="E126" s="685"/>
      <c r="F126" s="685"/>
      <c r="G126" s="685"/>
      <c r="H126" s="804"/>
      <c r="I126" s="140"/>
      <c r="J126" s="141"/>
      <c r="K126" s="157" t="e">
        <f>L126-#REF!-#REF!</f>
        <v>#REF!</v>
      </c>
      <c r="L126" s="158">
        <f t="shared" si="16"/>
        <v>0</v>
      </c>
    </row>
    <row r="127" spans="2:12" ht="15" hidden="1" customHeight="1" x14ac:dyDescent="0.25">
      <c r="B127" s="154">
        <v>3</v>
      </c>
      <c r="C127" s="685"/>
      <c r="D127" s="685"/>
      <c r="E127" s="685"/>
      <c r="F127" s="685"/>
      <c r="G127" s="685"/>
      <c r="H127" s="804"/>
      <c r="I127" s="140"/>
      <c r="J127" s="141"/>
      <c r="K127" s="157" t="e">
        <f>L127-#REF!-#REF!</f>
        <v>#REF!</v>
      </c>
      <c r="L127" s="158">
        <f t="shared" si="16"/>
        <v>0</v>
      </c>
    </row>
    <row r="128" spans="2:12" ht="15" hidden="1" customHeight="1" x14ac:dyDescent="0.25">
      <c r="B128" s="154">
        <v>4</v>
      </c>
      <c r="C128" s="685"/>
      <c r="D128" s="685"/>
      <c r="E128" s="685"/>
      <c r="F128" s="685"/>
      <c r="G128" s="685"/>
      <c r="H128" s="804"/>
      <c r="I128" s="140"/>
      <c r="J128" s="141"/>
      <c r="K128" s="157" t="e">
        <f>L128-#REF!-#REF!</f>
        <v>#REF!</v>
      </c>
      <c r="L128" s="158">
        <f t="shared" si="16"/>
        <v>0</v>
      </c>
    </row>
    <row r="129" spans="2:12" ht="15" hidden="1" customHeight="1" x14ac:dyDescent="0.25">
      <c r="B129" s="154">
        <v>5</v>
      </c>
      <c r="C129" s="685"/>
      <c r="D129" s="685"/>
      <c r="E129" s="685"/>
      <c r="F129" s="685"/>
      <c r="G129" s="685"/>
      <c r="H129" s="804"/>
      <c r="I129" s="140"/>
      <c r="J129" s="141"/>
      <c r="K129" s="157" t="e">
        <f>L129-#REF!-#REF!</f>
        <v>#REF!</v>
      </c>
      <c r="L129" s="158">
        <f t="shared" si="16"/>
        <v>0</v>
      </c>
    </row>
    <row r="130" spans="2:12" ht="15" hidden="1" customHeight="1" x14ac:dyDescent="0.25">
      <c r="B130" s="154">
        <v>6</v>
      </c>
      <c r="C130" s="685"/>
      <c r="D130" s="685"/>
      <c r="E130" s="685"/>
      <c r="F130" s="685"/>
      <c r="G130" s="685"/>
      <c r="H130" s="804"/>
      <c r="I130" s="140"/>
      <c r="J130" s="141"/>
      <c r="K130" s="157" t="e">
        <f>L130-#REF!-#REF!</f>
        <v>#REF!</v>
      </c>
      <c r="L130" s="158">
        <f t="shared" si="16"/>
        <v>0</v>
      </c>
    </row>
    <row r="131" spans="2:12" ht="15" hidden="1" customHeight="1" x14ac:dyDescent="0.25">
      <c r="B131" s="154">
        <v>7</v>
      </c>
      <c r="C131" s="685"/>
      <c r="D131" s="685"/>
      <c r="E131" s="685"/>
      <c r="F131" s="685"/>
      <c r="G131" s="685"/>
      <c r="H131" s="804"/>
      <c r="I131" s="140"/>
      <c r="J131" s="141"/>
      <c r="K131" s="157" t="e">
        <f>L131-#REF!-#REF!</f>
        <v>#REF!</v>
      </c>
      <c r="L131" s="158">
        <f t="shared" si="16"/>
        <v>0</v>
      </c>
    </row>
    <row r="132" spans="2:12" ht="15" hidden="1" customHeight="1" x14ac:dyDescent="0.25">
      <c r="B132" s="154">
        <v>8</v>
      </c>
      <c r="C132" s="685"/>
      <c r="D132" s="685"/>
      <c r="E132" s="685"/>
      <c r="F132" s="685"/>
      <c r="G132" s="685"/>
      <c r="H132" s="804"/>
      <c r="I132" s="140"/>
      <c r="J132" s="141"/>
      <c r="K132" s="157" t="e">
        <f>L132-#REF!-#REF!</f>
        <v>#REF!</v>
      </c>
      <c r="L132" s="158">
        <f t="shared" si="16"/>
        <v>0</v>
      </c>
    </row>
    <row r="133" spans="2:12" ht="15" hidden="1" customHeight="1" x14ac:dyDescent="0.25">
      <c r="B133" s="154">
        <v>9</v>
      </c>
      <c r="C133" s="685"/>
      <c r="D133" s="685"/>
      <c r="E133" s="685"/>
      <c r="F133" s="685"/>
      <c r="G133" s="685"/>
      <c r="H133" s="804"/>
      <c r="I133" s="140"/>
      <c r="J133" s="141"/>
      <c r="K133" s="157" t="e">
        <f>L133-#REF!-#REF!</f>
        <v>#REF!</v>
      </c>
      <c r="L133" s="158">
        <f t="shared" si="16"/>
        <v>0</v>
      </c>
    </row>
    <row r="134" spans="2:12" ht="15" hidden="1" customHeight="1" x14ac:dyDescent="0.25">
      <c r="B134" s="154">
        <v>10</v>
      </c>
      <c r="C134" s="685"/>
      <c r="D134" s="685"/>
      <c r="E134" s="685"/>
      <c r="F134" s="685"/>
      <c r="G134" s="685"/>
      <c r="H134" s="804"/>
      <c r="I134" s="140"/>
      <c r="J134" s="141"/>
      <c r="K134" s="157" t="e">
        <f>L134-#REF!-#REF!</f>
        <v>#REF!</v>
      </c>
      <c r="L134" s="158">
        <f t="shared" si="16"/>
        <v>0</v>
      </c>
    </row>
    <row r="135" spans="2:12" ht="15" hidden="1" customHeight="1" x14ac:dyDescent="0.25">
      <c r="B135" s="159"/>
      <c r="C135" s="811" t="s">
        <v>4044</v>
      </c>
      <c r="D135" s="811"/>
      <c r="E135" s="811"/>
      <c r="F135" s="811"/>
      <c r="G135" s="811"/>
      <c r="H135" s="811"/>
      <c r="I135" s="811"/>
      <c r="J135" s="812"/>
      <c r="K135" s="160" t="e">
        <f>SUM(K125:K134)</f>
        <v>#REF!</v>
      </c>
      <c r="L135" s="161">
        <f>SUM(L125:L134)</f>
        <v>0</v>
      </c>
    </row>
    <row r="136" spans="2:12" ht="15" hidden="1" customHeight="1" x14ac:dyDescent="0.25">
      <c r="B136" s="772" t="s">
        <v>4033</v>
      </c>
      <c r="C136" s="773"/>
      <c r="D136" s="773"/>
      <c r="E136" s="773"/>
      <c r="F136" s="773"/>
      <c r="G136" s="773"/>
      <c r="H136" s="773"/>
      <c r="I136" s="773"/>
      <c r="J136" s="773"/>
      <c r="K136" s="826" t="s">
        <v>3909</v>
      </c>
      <c r="L136" s="826"/>
    </row>
    <row r="137" spans="2:12" ht="15" hidden="1" customHeight="1" x14ac:dyDescent="0.25">
      <c r="B137" s="815" t="s">
        <v>3984</v>
      </c>
      <c r="C137" s="816"/>
      <c r="D137" s="816"/>
      <c r="E137" s="816"/>
      <c r="F137" s="816"/>
      <c r="G137" s="816"/>
      <c r="H137" s="817"/>
      <c r="I137" s="151" t="s">
        <v>3980</v>
      </c>
      <c r="J137" s="151" t="s">
        <v>3981</v>
      </c>
      <c r="K137" s="151" t="s">
        <v>3982</v>
      </c>
      <c r="L137" s="153" t="s">
        <v>3794</v>
      </c>
    </row>
    <row r="138" spans="2:12" ht="15" hidden="1" customHeight="1" x14ac:dyDescent="0.25">
      <c r="B138" s="154">
        <v>1</v>
      </c>
      <c r="C138" s="685"/>
      <c r="D138" s="685"/>
      <c r="E138" s="685"/>
      <c r="F138" s="685"/>
      <c r="G138" s="685"/>
      <c r="H138" s="804"/>
      <c r="I138" s="140"/>
      <c r="J138" s="141"/>
      <c r="K138" s="157" t="e">
        <f>L138-#REF!-#REF!</f>
        <v>#REF!</v>
      </c>
      <c r="L138" s="158">
        <f t="shared" ref="L138:L147" si="17">I138*J138</f>
        <v>0</v>
      </c>
    </row>
    <row r="139" spans="2:12" ht="15" hidden="1" customHeight="1" x14ac:dyDescent="0.25">
      <c r="B139" s="154">
        <v>2</v>
      </c>
      <c r="C139" s="685"/>
      <c r="D139" s="685"/>
      <c r="E139" s="685"/>
      <c r="F139" s="685"/>
      <c r="G139" s="685"/>
      <c r="H139" s="804"/>
      <c r="I139" s="140"/>
      <c r="J139" s="141"/>
      <c r="K139" s="157" t="e">
        <f>L139-#REF!-#REF!</f>
        <v>#REF!</v>
      </c>
      <c r="L139" s="158">
        <f t="shared" si="17"/>
        <v>0</v>
      </c>
    </row>
    <row r="140" spans="2:12" ht="15" hidden="1" customHeight="1" x14ac:dyDescent="0.25">
      <c r="B140" s="154">
        <v>3</v>
      </c>
      <c r="C140" s="685"/>
      <c r="D140" s="685"/>
      <c r="E140" s="685"/>
      <c r="F140" s="685"/>
      <c r="G140" s="685"/>
      <c r="H140" s="804"/>
      <c r="I140" s="140"/>
      <c r="J140" s="141"/>
      <c r="K140" s="157" t="e">
        <f>L140-#REF!-#REF!</f>
        <v>#REF!</v>
      </c>
      <c r="L140" s="158">
        <f t="shared" si="17"/>
        <v>0</v>
      </c>
    </row>
    <row r="141" spans="2:12" ht="15" hidden="1" customHeight="1" x14ac:dyDescent="0.25">
      <c r="B141" s="154">
        <v>4</v>
      </c>
      <c r="C141" s="685"/>
      <c r="D141" s="685"/>
      <c r="E141" s="685"/>
      <c r="F141" s="685"/>
      <c r="G141" s="685"/>
      <c r="H141" s="804"/>
      <c r="I141" s="140"/>
      <c r="J141" s="141"/>
      <c r="K141" s="157" t="e">
        <f>L141-#REF!-#REF!</f>
        <v>#REF!</v>
      </c>
      <c r="L141" s="158">
        <f t="shared" si="17"/>
        <v>0</v>
      </c>
    </row>
    <row r="142" spans="2:12" ht="15" hidden="1" customHeight="1" x14ac:dyDescent="0.25">
      <c r="B142" s="154">
        <v>5</v>
      </c>
      <c r="C142" s="685"/>
      <c r="D142" s="685"/>
      <c r="E142" s="685"/>
      <c r="F142" s="685"/>
      <c r="G142" s="685"/>
      <c r="H142" s="804"/>
      <c r="I142" s="140"/>
      <c r="J142" s="141"/>
      <c r="K142" s="157" t="e">
        <f>L142-#REF!-#REF!</f>
        <v>#REF!</v>
      </c>
      <c r="L142" s="158">
        <f t="shared" si="17"/>
        <v>0</v>
      </c>
    </row>
    <row r="143" spans="2:12" ht="15" hidden="1" customHeight="1" x14ac:dyDescent="0.25">
      <c r="B143" s="154">
        <v>6</v>
      </c>
      <c r="C143" s="685"/>
      <c r="D143" s="685"/>
      <c r="E143" s="685"/>
      <c r="F143" s="685"/>
      <c r="G143" s="685"/>
      <c r="H143" s="804"/>
      <c r="I143" s="140"/>
      <c r="J143" s="141"/>
      <c r="K143" s="157" t="e">
        <f>L143-#REF!-#REF!</f>
        <v>#REF!</v>
      </c>
      <c r="L143" s="158">
        <f t="shared" si="17"/>
        <v>0</v>
      </c>
    </row>
    <row r="144" spans="2:12" ht="15" hidden="1" customHeight="1" x14ac:dyDescent="0.25">
      <c r="B144" s="154">
        <v>7</v>
      </c>
      <c r="C144" s="685"/>
      <c r="D144" s="685"/>
      <c r="E144" s="685"/>
      <c r="F144" s="685"/>
      <c r="G144" s="685"/>
      <c r="H144" s="804"/>
      <c r="I144" s="140"/>
      <c r="J144" s="141"/>
      <c r="K144" s="157" t="e">
        <f>L144-#REF!-#REF!</f>
        <v>#REF!</v>
      </c>
      <c r="L144" s="158">
        <f t="shared" si="17"/>
        <v>0</v>
      </c>
    </row>
    <row r="145" spans="2:12" ht="15" hidden="1" customHeight="1" x14ac:dyDescent="0.25">
      <c r="B145" s="154">
        <v>8</v>
      </c>
      <c r="C145" s="685"/>
      <c r="D145" s="685"/>
      <c r="E145" s="685"/>
      <c r="F145" s="685"/>
      <c r="G145" s="685"/>
      <c r="H145" s="804"/>
      <c r="I145" s="140"/>
      <c r="J145" s="141"/>
      <c r="K145" s="157" t="e">
        <f>L145-#REF!-#REF!</f>
        <v>#REF!</v>
      </c>
      <c r="L145" s="158">
        <f t="shared" si="17"/>
        <v>0</v>
      </c>
    </row>
    <row r="146" spans="2:12" ht="15" hidden="1" customHeight="1" x14ac:dyDescent="0.25">
      <c r="B146" s="154">
        <v>9</v>
      </c>
      <c r="C146" s="685"/>
      <c r="D146" s="685"/>
      <c r="E146" s="685"/>
      <c r="F146" s="685"/>
      <c r="G146" s="685"/>
      <c r="H146" s="804"/>
      <c r="I146" s="140"/>
      <c r="J146" s="141"/>
      <c r="K146" s="157" t="e">
        <f>L146-#REF!-#REF!</f>
        <v>#REF!</v>
      </c>
      <c r="L146" s="158">
        <f t="shared" si="17"/>
        <v>0</v>
      </c>
    </row>
    <row r="147" spans="2:12" ht="15" hidden="1" customHeight="1" x14ac:dyDescent="0.25">
      <c r="B147" s="154">
        <v>10</v>
      </c>
      <c r="C147" s="685"/>
      <c r="D147" s="685"/>
      <c r="E147" s="685"/>
      <c r="F147" s="685"/>
      <c r="G147" s="685"/>
      <c r="H147" s="804"/>
      <c r="I147" s="140"/>
      <c r="J147" s="141"/>
      <c r="K147" s="157" t="e">
        <f>L147-#REF!-#REF!</f>
        <v>#REF!</v>
      </c>
      <c r="L147" s="158">
        <f t="shared" si="17"/>
        <v>0</v>
      </c>
    </row>
    <row r="148" spans="2:12" ht="15" hidden="1" customHeight="1" x14ac:dyDescent="0.25">
      <c r="B148" s="159"/>
      <c r="C148" s="811" t="s">
        <v>4045</v>
      </c>
      <c r="D148" s="811"/>
      <c r="E148" s="811"/>
      <c r="F148" s="811"/>
      <c r="G148" s="811"/>
      <c r="H148" s="811"/>
      <c r="I148" s="811"/>
      <c r="J148" s="812"/>
      <c r="K148" s="160" t="e">
        <f>SUM(K138:K147)</f>
        <v>#REF!</v>
      </c>
      <c r="L148" s="161">
        <f>SUM(L138:L147)</f>
        <v>0</v>
      </c>
    </row>
    <row r="149" spans="2:12" ht="15" hidden="1" customHeight="1" x14ac:dyDescent="0.25">
      <c r="B149" s="772" t="s">
        <v>4034</v>
      </c>
      <c r="C149" s="773"/>
      <c r="D149" s="773"/>
      <c r="E149" s="773"/>
      <c r="F149" s="773"/>
      <c r="G149" s="773"/>
      <c r="H149" s="773"/>
      <c r="I149" s="773"/>
      <c r="J149" s="773"/>
      <c r="K149" s="826" t="s">
        <v>3909</v>
      </c>
      <c r="L149" s="826"/>
    </row>
    <row r="150" spans="2:12" ht="15" hidden="1" customHeight="1" x14ac:dyDescent="0.25">
      <c r="B150" s="815" t="s">
        <v>3984</v>
      </c>
      <c r="C150" s="816"/>
      <c r="D150" s="816"/>
      <c r="E150" s="816"/>
      <c r="F150" s="816"/>
      <c r="G150" s="816"/>
      <c r="H150" s="817"/>
      <c r="I150" s="151" t="s">
        <v>3980</v>
      </c>
      <c r="J150" s="151" t="s">
        <v>3981</v>
      </c>
      <c r="K150" s="151" t="s">
        <v>3982</v>
      </c>
      <c r="L150" s="153" t="s">
        <v>3794</v>
      </c>
    </row>
    <row r="151" spans="2:12" ht="15" hidden="1" customHeight="1" x14ac:dyDescent="0.25">
      <c r="B151" s="154">
        <v>1</v>
      </c>
      <c r="C151" s="685"/>
      <c r="D151" s="685"/>
      <c r="E151" s="685"/>
      <c r="F151" s="685"/>
      <c r="G151" s="685"/>
      <c r="H151" s="804"/>
      <c r="I151" s="140"/>
      <c r="J151" s="141"/>
      <c r="K151" s="157" t="e">
        <f>L151-#REF!-#REF!</f>
        <v>#REF!</v>
      </c>
      <c r="L151" s="158">
        <f t="shared" ref="L151:L160" si="18">I151*J151</f>
        <v>0</v>
      </c>
    </row>
    <row r="152" spans="2:12" ht="15" hidden="1" customHeight="1" x14ac:dyDescent="0.25">
      <c r="B152" s="154">
        <v>2</v>
      </c>
      <c r="C152" s="685"/>
      <c r="D152" s="685"/>
      <c r="E152" s="685"/>
      <c r="F152" s="685"/>
      <c r="G152" s="685"/>
      <c r="H152" s="804"/>
      <c r="I152" s="140"/>
      <c r="J152" s="141"/>
      <c r="K152" s="157" t="e">
        <f>L152-#REF!-#REF!</f>
        <v>#REF!</v>
      </c>
      <c r="L152" s="158">
        <f t="shared" si="18"/>
        <v>0</v>
      </c>
    </row>
    <row r="153" spans="2:12" ht="15" hidden="1" customHeight="1" x14ac:dyDescent="0.25">
      <c r="B153" s="154">
        <v>3</v>
      </c>
      <c r="C153" s="685"/>
      <c r="D153" s="685"/>
      <c r="E153" s="685"/>
      <c r="F153" s="685"/>
      <c r="G153" s="685"/>
      <c r="H153" s="804"/>
      <c r="I153" s="140"/>
      <c r="J153" s="141"/>
      <c r="K153" s="157" t="e">
        <f>L153-#REF!-#REF!</f>
        <v>#REF!</v>
      </c>
      <c r="L153" s="158">
        <f t="shared" si="18"/>
        <v>0</v>
      </c>
    </row>
    <row r="154" spans="2:12" ht="15" hidden="1" customHeight="1" x14ac:dyDescent="0.25">
      <c r="B154" s="154">
        <v>4</v>
      </c>
      <c r="C154" s="685"/>
      <c r="D154" s="685"/>
      <c r="E154" s="685"/>
      <c r="F154" s="685"/>
      <c r="G154" s="685"/>
      <c r="H154" s="804"/>
      <c r="I154" s="140"/>
      <c r="J154" s="141"/>
      <c r="K154" s="157" t="e">
        <f>L154-#REF!-#REF!</f>
        <v>#REF!</v>
      </c>
      <c r="L154" s="158">
        <f t="shared" si="18"/>
        <v>0</v>
      </c>
    </row>
    <row r="155" spans="2:12" ht="15" hidden="1" customHeight="1" x14ac:dyDescent="0.25">
      <c r="B155" s="154">
        <v>5</v>
      </c>
      <c r="C155" s="685"/>
      <c r="D155" s="685"/>
      <c r="E155" s="685"/>
      <c r="F155" s="685"/>
      <c r="G155" s="685"/>
      <c r="H155" s="804"/>
      <c r="I155" s="140"/>
      <c r="J155" s="141"/>
      <c r="K155" s="157" t="e">
        <f>L155-#REF!-#REF!</f>
        <v>#REF!</v>
      </c>
      <c r="L155" s="158">
        <f t="shared" si="18"/>
        <v>0</v>
      </c>
    </row>
    <row r="156" spans="2:12" ht="15" hidden="1" customHeight="1" x14ac:dyDescent="0.25">
      <c r="B156" s="154">
        <v>6</v>
      </c>
      <c r="C156" s="685"/>
      <c r="D156" s="685"/>
      <c r="E156" s="685"/>
      <c r="F156" s="685"/>
      <c r="G156" s="685"/>
      <c r="H156" s="804"/>
      <c r="I156" s="140"/>
      <c r="J156" s="141"/>
      <c r="K156" s="157" t="e">
        <f>L156-#REF!-#REF!</f>
        <v>#REF!</v>
      </c>
      <c r="L156" s="158">
        <f t="shared" si="18"/>
        <v>0</v>
      </c>
    </row>
    <row r="157" spans="2:12" ht="15" hidden="1" customHeight="1" x14ac:dyDescent="0.25">
      <c r="B157" s="154">
        <v>7</v>
      </c>
      <c r="C157" s="685"/>
      <c r="D157" s="685"/>
      <c r="E157" s="685"/>
      <c r="F157" s="685"/>
      <c r="G157" s="685"/>
      <c r="H157" s="804"/>
      <c r="I157" s="140"/>
      <c r="J157" s="141"/>
      <c r="K157" s="157" t="e">
        <f>L157-#REF!-#REF!</f>
        <v>#REF!</v>
      </c>
      <c r="L157" s="158">
        <f t="shared" si="18"/>
        <v>0</v>
      </c>
    </row>
    <row r="158" spans="2:12" ht="15" hidden="1" customHeight="1" x14ac:dyDescent="0.25">
      <c r="B158" s="154">
        <v>8</v>
      </c>
      <c r="C158" s="685"/>
      <c r="D158" s="685"/>
      <c r="E158" s="685"/>
      <c r="F158" s="685"/>
      <c r="G158" s="685"/>
      <c r="H158" s="804"/>
      <c r="I158" s="140"/>
      <c r="J158" s="141"/>
      <c r="K158" s="157" t="e">
        <f>L158-#REF!-#REF!</f>
        <v>#REF!</v>
      </c>
      <c r="L158" s="158">
        <f t="shared" si="18"/>
        <v>0</v>
      </c>
    </row>
    <row r="159" spans="2:12" ht="15" hidden="1" customHeight="1" x14ac:dyDescent="0.25">
      <c r="B159" s="154">
        <v>9</v>
      </c>
      <c r="C159" s="685"/>
      <c r="D159" s="685"/>
      <c r="E159" s="685"/>
      <c r="F159" s="685"/>
      <c r="G159" s="685"/>
      <c r="H159" s="804"/>
      <c r="I159" s="140"/>
      <c r="J159" s="141"/>
      <c r="K159" s="157" t="e">
        <f>L159-#REF!-#REF!</f>
        <v>#REF!</v>
      </c>
      <c r="L159" s="158">
        <f t="shared" si="18"/>
        <v>0</v>
      </c>
    </row>
    <row r="160" spans="2:12" ht="15" hidden="1" customHeight="1" x14ac:dyDescent="0.25">
      <c r="B160" s="154">
        <v>10</v>
      </c>
      <c r="C160" s="685"/>
      <c r="D160" s="685"/>
      <c r="E160" s="685"/>
      <c r="F160" s="685"/>
      <c r="G160" s="685"/>
      <c r="H160" s="804"/>
      <c r="I160" s="140"/>
      <c r="J160" s="141"/>
      <c r="K160" s="157" t="e">
        <f>L160-#REF!-#REF!</f>
        <v>#REF!</v>
      </c>
      <c r="L160" s="158">
        <f t="shared" si="18"/>
        <v>0</v>
      </c>
    </row>
    <row r="161" spans="2:12" ht="15" hidden="1" customHeight="1" x14ac:dyDescent="0.25">
      <c r="B161" s="159"/>
      <c r="C161" s="811" t="s">
        <v>4046</v>
      </c>
      <c r="D161" s="811"/>
      <c r="E161" s="811"/>
      <c r="F161" s="811"/>
      <c r="G161" s="811"/>
      <c r="H161" s="811"/>
      <c r="I161" s="811"/>
      <c r="J161" s="812"/>
      <c r="K161" s="160" t="e">
        <f>SUM(K151:K160)</f>
        <v>#REF!</v>
      </c>
      <c r="L161" s="161">
        <f>SUM(L151:L160)</f>
        <v>0</v>
      </c>
    </row>
    <row r="162" spans="2:12" ht="15" hidden="1" customHeight="1" x14ac:dyDescent="0.25">
      <c r="B162" s="772" t="s">
        <v>4052</v>
      </c>
      <c r="C162" s="773"/>
      <c r="D162" s="773"/>
      <c r="E162" s="773"/>
      <c r="F162" s="773"/>
      <c r="G162" s="773"/>
      <c r="H162" s="773"/>
      <c r="I162" s="773"/>
      <c r="J162" s="773"/>
      <c r="K162" s="826" t="s">
        <v>3909</v>
      </c>
      <c r="L162" s="826"/>
    </row>
    <row r="163" spans="2:12" ht="15" hidden="1" customHeight="1" x14ac:dyDescent="0.25">
      <c r="B163" s="815" t="s">
        <v>3984</v>
      </c>
      <c r="C163" s="816"/>
      <c r="D163" s="816"/>
      <c r="E163" s="816"/>
      <c r="F163" s="816"/>
      <c r="G163" s="816"/>
      <c r="H163" s="817"/>
      <c r="I163" s="151" t="s">
        <v>3980</v>
      </c>
      <c r="J163" s="151" t="s">
        <v>3981</v>
      </c>
      <c r="K163" s="151" t="s">
        <v>3982</v>
      </c>
      <c r="L163" s="153" t="s">
        <v>3794</v>
      </c>
    </row>
    <row r="164" spans="2:12" ht="15" hidden="1" customHeight="1" x14ac:dyDescent="0.25">
      <c r="B164" s="154">
        <v>1</v>
      </c>
      <c r="C164" s="685"/>
      <c r="D164" s="685"/>
      <c r="E164" s="685"/>
      <c r="F164" s="685"/>
      <c r="G164" s="685"/>
      <c r="H164" s="804"/>
      <c r="I164" s="140"/>
      <c r="J164" s="141"/>
      <c r="K164" s="157" t="e">
        <f>L164-#REF!-#REF!</f>
        <v>#REF!</v>
      </c>
      <c r="L164" s="158">
        <f t="shared" ref="L164:L173" si="19">I164*J164</f>
        <v>0</v>
      </c>
    </row>
    <row r="165" spans="2:12" ht="15" hidden="1" customHeight="1" x14ac:dyDescent="0.25">
      <c r="B165" s="154">
        <v>2</v>
      </c>
      <c r="C165" s="685"/>
      <c r="D165" s="685"/>
      <c r="E165" s="685"/>
      <c r="F165" s="685"/>
      <c r="G165" s="685"/>
      <c r="H165" s="804"/>
      <c r="I165" s="140"/>
      <c r="J165" s="141"/>
      <c r="K165" s="157" t="e">
        <f>L165-#REF!-#REF!</f>
        <v>#REF!</v>
      </c>
      <c r="L165" s="158">
        <f t="shared" si="19"/>
        <v>0</v>
      </c>
    </row>
    <row r="166" spans="2:12" ht="15" hidden="1" customHeight="1" x14ac:dyDescent="0.25">
      <c r="B166" s="154">
        <v>3</v>
      </c>
      <c r="C166" s="685"/>
      <c r="D166" s="685"/>
      <c r="E166" s="685"/>
      <c r="F166" s="685"/>
      <c r="G166" s="685"/>
      <c r="H166" s="804"/>
      <c r="I166" s="140"/>
      <c r="J166" s="141"/>
      <c r="K166" s="157" t="e">
        <f>L166-#REF!-#REF!</f>
        <v>#REF!</v>
      </c>
      <c r="L166" s="158">
        <f t="shared" si="19"/>
        <v>0</v>
      </c>
    </row>
    <row r="167" spans="2:12" ht="15" hidden="1" customHeight="1" x14ac:dyDescent="0.25">
      <c r="B167" s="154">
        <v>4</v>
      </c>
      <c r="C167" s="685"/>
      <c r="D167" s="685"/>
      <c r="E167" s="685"/>
      <c r="F167" s="685"/>
      <c r="G167" s="685"/>
      <c r="H167" s="804"/>
      <c r="I167" s="140"/>
      <c r="J167" s="141"/>
      <c r="K167" s="157" t="e">
        <f>L167-#REF!-#REF!</f>
        <v>#REF!</v>
      </c>
      <c r="L167" s="158">
        <f t="shared" si="19"/>
        <v>0</v>
      </c>
    </row>
    <row r="168" spans="2:12" ht="15" hidden="1" customHeight="1" x14ac:dyDescent="0.25">
      <c r="B168" s="154">
        <v>5</v>
      </c>
      <c r="C168" s="685"/>
      <c r="D168" s="685"/>
      <c r="E168" s="685"/>
      <c r="F168" s="685"/>
      <c r="G168" s="685"/>
      <c r="H168" s="804"/>
      <c r="I168" s="140"/>
      <c r="J168" s="141"/>
      <c r="K168" s="157" t="e">
        <f>L168-#REF!-#REF!</f>
        <v>#REF!</v>
      </c>
      <c r="L168" s="158">
        <f t="shared" si="19"/>
        <v>0</v>
      </c>
    </row>
    <row r="169" spans="2:12" ht="15" hidden="1" customHeight="1" x14ac:dyDescent="0.25">
      <c r="B169" s="154">
        <v>6</v>
      </c>
      <c r="C169" s="685"/>
      <c r="D169" s="685"/>
      <c r="E169" s="685"/>
      <c r="F169" s="685"/>
      <c r="G169" s="685"/>
      <c r="H169" s="804"/>
      <c r="I169" s="140"/>
      <c r="J169" s="141"/>
      <c r="K169" s="157" t="e">
        <f>L169-#REF!-#REF!</f>
        <v>#REF!</v>
      </c>
      <c r="L169" s="158">
        <f t="shared" si="19"/>
        <v>0</v>
      </c>
    </row>
    <row r="170" spans="2:12" ht="15" hidden="1" customHeight="1" x14ac:dyDescent="0.25">
      <c r="B170" s="154">
        <v>7</v>
      </c>
      <c r="C170" s="685"/>
      <c r="D170" s="685"/>
      <c r="E170" s="685"/>
      <c r="F170" s="685"/>
      <c r="G170" s="685"/>
      <c r="H170" s="804"/>
      <c r="I170" s="140"/>
      <c r="J170" s="141"/>
      <c r="K170" s="157" t="e">
        <f>L170-#REF!-#REF!</f>
        <v>#REF!</v>
      </c>
      <c r="L170" s="158">
        <f t="shared" si="19"/>
        <v>0</v>
      </c>
    </row>
    <row r="171" spans="2:12" ht="15" hidden="1" customHeight="1" x14ac:dyDescent="0.25">
      <c r="B171" s="154">
        <v>8</v>
      </c>
      <c r="C171" s="685"/>
      <c r="D171" s="685"/>
      <c r="E171" s="685"/>
      <c r="F171" s="685"/>
      <c r="G171" s="685"/>
      <c r="H171" s="804"/>
      <c r="I171" s="140"/>
      <c r="J171" s="141"/>
      <c r="K171" s="157" t="e">
        <f>L171-#REF!-#REF!</f>
        <v>#REF!</v>
      </c>
      <c r="L171" s="158">
        <f t="shared" si="19"/>
        <v>0</v>
      </c>
    </row>
    <row r="172" spans="2:12" ht="15" hidden="1" customHeight="1" x14ac:dyDescent="0.25">
      <c r="B172" s="154">
        <v>9</v>
      </c>
      <c r="C172" s="685"/>
      <c r="D172" s="685"/>
      <c r="E172" s="685"/>
      <c r="F172" s="685"/>
      <c r="G172" s="685"/>
      <c r="H172" s="804"/>
      <c r="I172" s="140"/>
      <c r="J172" s="141"/>
      <c r="K172" s="157" t="e">
        <f>L172-#REF!-#REF!</f>
        <v>#REF!</v>
      </c>
      <c r="L172" s="158">
        <f t="shared" si="19"/>
        <v>0</v>
      </c>
    </row>
    <row r="173" spans="2:12" ht="15" hidden="1" customHeight="1" x14ac:dyDescent="0.25">
      <c r="B173" s="154">
        <v>10</v>
      </c>
      <c r="C173" s="685"/>
      <c r="D173" s="685"/>
      <c r="E173" s="685"/>
      <c r="F173" s="685"/>
      <c r="G173" s="685"/>
      <c r="H173" s="804"/>
      <c r="I173" s="140"/>
      <c r="J173" s="141"/>
      <c r="K173" s="157" t="e">
        <f>L173-#REF!-#REF!</f>
        <v>#REF!</v>
      </c>
      <c r="L173" s="158">
        <f t="shared" si="19"/>
        <v>0</v>
      </c>
    </row>
    <row r="174" spans="2:12" ht="15" hidden="1" customHeight="1" x14ac:dyDescent="0.25">
      <c r="B174" s="159"/>
      <c r="C174" s="811" t="s">
        <v>4053</v>
      </c>
      <c r="D174" s="811"/>
      <c r="E174" s="811"/>
      <c r="F174" s="811"/>
      <c r="G174" s="811"/>
      <c r="H174" s="811"/>
      <c r="I174" s="811"/>
      <c r="J174" s="812"/>
      <c r="K174" s="160" t="e">
        <f>SUM(K164:K173)</f>
        <v>#REF!</v>
      </c>
      <c r="L174" s="161">
        <f>SUM(L164:L173)</f>
        <v>0</v>
      </c>
    </row>
    <row r="175" spans="2:12" ht="15" hidden="1" customHeight="1" x14ac:dyDescent="0.25">
      <c r="B175" s="772" t="s">
        <v>4039</v>
      </c>
      <c r="C175" s="773"/>
      <c r="D175" s="773"/>
      <c r="E175" s="773"/>
      <c r="F175" s="773"/>
      <c r="G175" s="773"/>
      <c r="H175" s="773"/>
      <c r="I175" s="773"/>
      <c r="J175" s="773"/>
      <c r="K175" s="826" t="s">
        <v>3909</v>
      </c>
      <c r="L175" s="826"/>
    </row>
    <row r="176" spans="2:12" ht="15" hidden="1" customHeight="1" x14ac:dyDescent="0.25">
      <c r="B176" s="815" t="s">
        <v>3984</v>
      </c>
      <c r="C176" s="816"/>
      <c r="D176" s="816"/>
      <c r="E176" s="816"/>
      <c r="F176" s="816"/>
      <c r="G176" s="816"/>
      <c r="H176" s="817"/>
      <c r="I176" s="151" t="s">
        <v>3980</v>
      </c>
      <c r="J176" s="151" t="s">
        <v>3981</v>
      </c>
      <c r="K176" s="151" t="s">
        <v>3982</v>
      </c>
      <c r="L176" s="153" t="s">
        <v>3794</v>
      </c>
    </row>
    <row r="177" spans="2:12" ht="15" hidden="1" customHeight="1" x14ac:dyDescent="0.25">
      <c r="B177" s="154">
        <v>1</v>
      </c>
      <c r="C177" s="685"/>
      <c r="D177" s="685"/>
      <c r="E177" s="685"/>
      <c r="F177" s="685"/>
      <c r="G177" s="685"/>
      <c r="H177" s="804"/>
      <c r="I177" s="140"/>
      <c r="J177" s="141"/>
      <c r="K177" s="157" t="e">
        <f>L177-#REF!-#REF!</f>
        <v>#REF!</v>
      </c>
      <c r="L177" s="158">
        <f>I177*J177</f>
        <v>0</v>
      </c>
    </row>
    <row r="178" spans="2:12" ht="15" hidden="1" customHeight="1" x14ac:dyDescent="0.25">
      <c r="B178" s="154">
        <v>2</v>
      </c>
      <c r="C178" s="685"/>
      <c r="D178" s="685"/>
      <c r="E178" s="685"/>
      <c r="F178" s="685"/>
      <c r="G178" s="685"/>
      <c r="H178" s="804"/>
      <c r="I178" s="140"/>
      <c r="J178" s="141"/>
      <c r="K178" s="157" t="e">
        <f>L178-#REF!-#REF!</f>
        <v>#REF!</v>
      </c>
      <c r="L178" s="158">
        <f t="shared" ref="L178:L186" si="20">I178*J178</f>
        <v>0</v>
      </c>
    </row>
    <row r="179" spans="2:12" ht="15" hidden="1" customHeight="1" x14ac:dyDescent="0.25">
      <c r="B179" s="154">
        <v>3</v>
      </c>
      <c r="C179" s="685"/>
      <c r="D179" s="685"/>
      <c r="E179" s="685"/>
      <c r="F179" s="685"/>
      <c r="G179" s="685"/>
      <c r="H179" s="804"/>
      <c r="I179" s="140"/>
      <c r="J179" s="141"/>
      <c r="K179" s="157" t="e">
        <f>L179-#REF!-#REF!</f>
        <v>#REF!</v>
      </c>
      <c r="L179" s="158">
        <f t="shared" si="20"/>
        <v>0</v>
      </c>
    </row>
    <row r="180" spans="2:12" ht="15" hidden="1" customHeight="1" x14ac:dyDescent="0.25">
      <c r="B180" s="154">
        <v>4</v>
      </c>
      <c r="C180" s="685"/>
      <c r="D180" s="685"/>
      <c r="E180" s="685"/>
      <c r="F180" s="685"/>
      <c r="G180" s="685"/>
      <c r="H180" s="804"/>
      <c r="I180" s="140"/>
      <c r="J180" s="141"/>
      <c r="K180" s="157" t="e">
        <f>L180-#REF!-#REF!</f>
        <v>#REF!</v>
      </c>
      <c r="L180" s="158">
        <f t="shared" si="20"/>
        <v>0</v>
      </c>
    </row>
    <row r="181" spans="2:12" ht="15" hidden="1" customHeight="1" x14ac:dyDescent="0.25">
      <c r="B181" s="154">
        <v>5</v>
      </c>
      <c r="C181" s="685"/>
      <c r="D181" s="685"/>
      <c r="E181" s="685"/>
      <c r="F181" s="685"/>
      <c r="G181" s="685"/>
      <c r="H181" s="804"/>
      <c r="I181" s="140"/>
      <c r="J181" s="141"/>
      <c r="K181" s="157" t="e">
        <f>L181-#REF!-#REF!</f>
        <v>#REF!</v>
      </c>
      <c r="L181" s="158">
        <f t="shared" si="20"/>
        <v>0</v>
      </c>
    </row>
    <row r="182" spans="2:12" ht="15" hidden="1" customHeight="1" x14ac:dyDescent="0.25">
      <c r="B182" s="154">
        <v>6</v>
      </c>
      <c r="C182" s="685"/>
      <c r="D182" s="685"/>
      <c r="E182" s="685"/>
      <c r="F182" s="685"/>
      <c r="G182" s="685"/>
      <c r="H182" s="804"/>
      <c r="I182" s="140"/>
      <c r="J182" s="141"/>
      <c r="K182" s="157" t="e">
        <f>L182-#REF!-#REF!</f>
        <v>#REF!</v>
      </c>
      <c r="L182" s="158">
        <f t="shared" si="20"/>
        <v>0</v>
      </c>
    </row>
    <row r="183" spans="2:12" ht="15" hidden="1" customHeight="1" x14ac:dyDescent="0.25">
      <c r="B183" s="154">
        <v>7</v>
      </c>
      <c r="C183" s="685"/>
      <c r="D183" s="685"/>
      <c r="E183" s="685"/>
      <c r="F183" s="685"/>
      <c r="G183" s="685"/>
      <c r="H183" s="804"/>
      <c r="I183" s="140"/>
      <c r="J183" s="141"/>
      <c r="K183" s="157" t="e">
        <f>L183-#REF!-#REF!</f>
        <v>#REF!</v>
      </c>
      <c r="L183" s="158">
        <f t="shared" si="20"/>
        <v>0</v>
      </c>
    </row>
    <row r="184" spans="2:12" ht="15" hidden="1" customHeight="1" x14ac:dyDescent="0.25">
      <c r="B184" s="154">
        <v>8</v>
      </c>
      <c r="C184" s="685"/>
      <c r="D184" s="685"/>
      <c r="E184" s="685"/>
      <c r="F184" s="685"/>
      <c r="G184" s="685"/>
      <c r="H184" s="804"/>
      <c r="I184" s="140"/>
      <c r="J184" s="141"/>
      <c r="K184" s="157" t="e">
        <f>L184-#REF!-#REF!</f>
        <v>#REF!</v>
      </c>
      <c r="L184" s="158">
        <f t="shared" si="20"/>
        <v>0</v>
      </c>
    </row>
    <row r="185" spans="2:12" ht="15" hidden="1" customHeight="1" x14ac:dyDescent="0.25">
      <c r="B185" s="154">
        <v>9</v>
      </c>
      <c r="C185" s="685"/>
      <c r="D185" s="685"/>
      <c r="E185" s="685"/>
      <c r="F185" s="685"/>
      <c r="G185" s="685"/>
      <c r="H185" s="804"/>
      <c r="I185" s="140"/>
      <c r="J185" s="141"/>
      <c r="K185" s="157" t="e">
        <f>L185-#REF!-#REF!</f>
        <v>#REF!</v>
      </c>
      <c r="L185" s="158">
        <f t="shared" si="20"/>
        <v>0</v>
      </c>
    </row>
    <row r="186" spans="2:12" ht="15" hidden="1" customHeight="1" x14ac:dyDescent="0.25">
      <c r="B186" s="154">
        <v>10</v>
      </c>
      <c r="C186" s="685"/>
      <c r="D186" s="685"/>
      <c r="E186" s="685"/>
      <c r="F186" s="685"/>
      <c r="G186" s="685"/>
      <c r="H186" s="804"/>
      <c r="I186" s="140"/>
      <c r="J186" s="141"/>
      <c r="K186" s="157" t="e">
        <f>L186-#REF!-#REF!</f>
        <v>#REF!</v>
      </c>
      <c r="L186" s="158">
        <f t="shared" si="20"/>
        <v>0</v>
      </c>
    </row>
    <row r="187" spans="2:12" ht="15" hidden="1" customHeight="1" x14ac:dyDescent="0.25">
      <c r="B187" s="159"/>
      <c r="C187" s="811" t="s">
        <v>4049</v>
      </c>
      <c r="D187" s="811"/>
      <c r="E187" s="811"/>
      <c r="F187" s="811"/>
      <c r="G187" s="811"/>
      <c r="H187" s="811"/>
      <c r="I187" s="811"/>
      <c r="J187" s="812"/>
      <c r="K187" s="160" t="e">
        <f>SUM(K177:K186)</f>
        <v>#REF!</v>
      </c>
      <c r="L187" s="161">
        <f>SUM(L177:L186)</f>
        <v>0</v>
      </c>
    </row>
    <row r="188" spans="2:12" ht="15" hidden="1" customHeight="1" x14ac:dyDescent="0.25">
      <c r="B188" s="165"/>
      <c r="C188" s="818" t="s">
        <v>4054</v>
      </c>
      <c r="D188" s="818"/>
      <c r="E188" s="818"/>
      <c r="F188" s="818"/>
      <c r="G188" s="818"/>
      <c r="H188" s="818"/>
      <c r="I188" s="818"/>
      <c r="J188" s="819"/>
      <c r="K188" s="166" t="e">
        <f>SUM(K109,K122,K135,K148,K161,K174,K187)</f>
        <v>#REF!</v>
      </c>
      <c r="L188" s="166">
        <f>SUM(L109,L122,L135,L148,L161,L174,L187)</f>
        <v>0</v>
      </c>
    </row>
    <row r="189" spans="2:12" ht="15" hidden="1" customHeight="1" x14ac:dyDescent="0.25"/>
  </sheetData>
  <sheetProtection algorithmName="SHA-512" hashValue="1rf1G2fxjudB7oTjVmmliyQ23QK7nAfrSD08t0nITMN9hPf0gyt3qvudbtRYVRxk5FNsshBXYQrp2Hk6phW5mw==" saltValue="wmryCrAiu9R/dCLICwQLuA==" spinCount="100000" sheet="1" objects="1" scenarios="1"/>
  <mergeCells count="200">
    <mergeCell ref="K97:L97"/>
    <mergeCell ref="K110:L110"/>
    <mergeCell ref="K123:L123"/>
    <mergeCell ref="K136:L136"/>
    <mergeCell ref="K149:L149"/>
    <mergeCell ref="K162:L162"/>
    <mergeCell ref="K175:L175"/>
    <mergeCell ref="C172:H172"/>
    <mergeCell ref="C173:H173"/>
    <mergeCell ref="B163:H163"/>
    <mergeCell ref="C164:H164"/>
    <mergeCell ref="C165:H165"/>
    <mergeCell ref="C166:H166"/>
    <mergeCell ref="B97:J97"/>
    <mergeCell ref="B162:J162"/>
    <mergeCell ref="C152:H152"/>
    <mergeCell ref="C153:H153"/>
    <mergeCell ref="C154:H154"/>
    <mergeCell ref="C142:H142"/>
    <mergeCell ref="C143:H143"/>
    <mergeCell ref="C144:H144"/>
    <mergeCell ref="C145:H145"/>
    <mergeCell ref="C146:H146"/>
    <mergeCell ref="B149:J149"/>
    <mergeCell ref="B176:H176"/>
    <mergeCell ref="C167:H167"/>
    <mergeCell ref="C168:H168"/>
    <mergeCell ref="C169:H169"/>
    <mergeCell ref="C170:H170"/>
    <mergeCell ref="C171:H171"/>
    <mergeCell ref="C174:J174"/>
    <mergeCell ref="C157:H157"/>
    <mergeCell ref="C158:H158"/>
    <mergeCell ref="C159:H159"/>
    <mergeCell ref="C160:H160"/>
    <mergeCell ref="C161:J161"/>
    <mergeCell ref="B175:J175"/>
    <mergeCell ref="C177:H177"/>
    <mergeCell ref="C178:H178"/>
    <mergeCell ref="C179:H179"/>
    <mergeCell ref="C180:H180"/>
    <mergeCell ref="C181:H181"/>
    <mergeCell ref="C187:J187"/>
    <mergeCell ref="C188:J188"/>
    <mergeCell ref="C182:H182"/>
    <mergeCell ref="C183:H183"/>
    <mergeCell ref="C184:H184"/>
    <mergeCell ref="C185:H185"/>
    <mergeCell ref="C186:H186"/>
    <mergeCell ref="C155:H155"/>
    <mergeCell ref="C156:H156"/>
    <mergeCell ref="C147:H147"/>
    <mergeCell ref="C148:J148"/>
    <mergeCell ref="B150:H150"/>
    <mergeCell ref="C151:H151"/>
    <mergeCell ref="B137:H137"/>
    <mergeCell ref="C138:H138"/>
    <mergeCell ref="C139:H139"/>
    <mergeCell ref="C140:H140"/>
    <mergeCell ref="C141:H141"/>
    <mergeCell ref="C132:H132"/>
    <mergeCell ref="C133:H133"/>
    <mergeCell ref="C134:H134"/>
    <mergeCell ref="C135:J135"/>
    <mergeCell ref="B136:J136"/>
    <mergeCell ref="C127:H127"/>
    <mergeCell ref="C128:H128"/>
    <mergeCell ref="C129:H129"/>
    <mergeCell ref="C130:H130"/>
    <mergeCell ref="C131:H131"/>
    <mergeCell ref="C122:J122"/>
    <mergeCell ref="B124:H124"/>
    <mergeCell ref="C125:H125"/>
    <mergeCell ref="C126:H126"/>
    <mergeCell ref="B123:J123"/>
    <mergeCell ref="C118:H118"/>
    <mergeCell ref="C119:H119"/>
    <mergeCell ref="C120:H120"/>
    <mergeCell ref="C121:H121"/>
    <mergeCell ref="C112:H112"/>
    <mergeCell ref="C113:H113"/>
    <mergeCell ref="C114:H114"/>
    <mergeCell ref="C115:H115"/>
    <mergeCell ref="C116:H116"/>
    <mergeCell ref="C109:J109"/>
    <mergeCell ref="B111:H111"/>
    <mergeCell ref="C102:H102"/>
    <mergeCell ref="C103:H103"/>
    <mergeCell ref="C104:H104"/>
    <mergeCell ref="C105:H105"/>
    <mergeCell ref="C106:H106"/>
    <mergeCell ref="B110:J110"/>
    <mergeCell ref="C117:H117"/>
    <mergeCell ref="C101:H101"/>
    <mergeCell ref="B4:H4"/>
    <mergeCell ref="C5:H5"/>
    <mergeCell ref="C12:H12"/>
    <mergeCell ref="C13:H13"/>
    <mergeCell ref="C14:H14"/>
    <mergeCell ref="C15:J15"/>
    <mergeCell ref="C107:H107"/>
    <mergeCell ref="C108:H108"/>
    <mergeCell ref="B96:L96"/>
    <mergeCell ref="C6:H6"/>
    <mergeCell ref="C7:H7"/>
    <mergeCell ref="C8:H8"/>
    <mergeCell ref="C9:H9"/>
    <mergeCell ref="C10:H10"/>
    <mergeCell ref="C11:H11"/>
    <mergeCell ref="B98:H98"/>
    <mergeCell ref="C99:H99"/>
    <mergeCell ref="C100:H100"/>
    <mergeCell ref="K81:L81"/>
    <mergeCell ref="B56:H56"/>
    <mergeCell ref="C57:H57"/>
    <mergeCell ref="C58:H58"/>
    <mergeCell ref="C59:H59"/>
    <mergeCell ref="C20:H20"/>
    <mergeCell ref="C35:H35"/>
    <mergeCell ref="C27:H27"/>
    <mergeCell ref="C28:J28"/>
    <mergeCell ref="C21:H21"/>
    <mergeCell ref="C22:H22"/>
    <mergeCell ref="C23:H23"/>
    <mergeCell ref="C24:H24"/>
    <mergeCell ref="C25:H25"/>
    <mergeCell ref="C26:H26"/>
    <mergeCell ref="C44:H44"/>
    <mergeCell ref="C36:H36"/>
    <mergeCell ref="C37:H37"/>
    <mergeCell ref="C38:H38"/>
    <mergeCell ref="C39:H39"/>
    <mergeCell ref="C40:H40"/>
    <mergeCell ref="C41:J41"/>
    <mergeCell ref="C45:H45"/>
    <mergeCell ref="C46:H46"/>
    <mergeCell ref="C47:H47"/>
    <mergeCell ref="C48:H48"/>
    <mergeCell ref="C49:H49"/>
    <mergeCell ref="C50:H50"/>
    <mergeCell ref="C73:H73"/>
    <mergeCell ref="C94:J94"/>
    <mergeCell ref="B82:H82"/>
    <mergeCell ref="C83:H83"/>
    <mergeCell ref="C75:H75"/>
    <mergeCell ref="C76:H76"/>
    <mergeCell ref="C77:H77"/>
    <mergeCell ref="C74:H74"/>
    <mergeCell ref="C66:H66"/>
    <mergeCell ref="C67:J67"/>
    <mergeCell ref="B69:H69"/>
    <mergeCell ref="B68:J68"/>
    <mergeCell ref="C54:J54"/>
    <mergeCell ref="B2:L2"/>
    <mergeCell ref="B3:J3"/>
    <mergeCell ref="K3:L3"/>
    <mergeCell ref="B16:J16"/>
    <mergeCell ref="B29:J29"/>
    <mergeCell ref="B42:J42"/>
    <mergeCell ref="C93:J93"/>
    <mergeCell ref="C84:H84"/>
    <mergeCell ref="C85:H85"/>
    <mergeCell ref="C86:H86"/>
    <mergeCell ref="C87:H87"/>
    <mergeCell ref="C88:H88"/>
    <mergeCell ref="C89:H89"/>
    <mergeCell ref="C78:H78"/>
    <mergeCell ref="C79:H79"/>
    <mergeCell ref="C80:J80"/>
    <mergeCell ref="C90:H90"/>
    <mergeCell ref="C91:H91"/>
    <mergeCell ref="C92:H92"/>
    <mergeCell ref="B81:J81"/>
    <mergeCell ref="C70:H70"/>
    <mergeCell ref="C71:H71"/>
    <mergeCell ref="C72:H72"/>
    <mergeCell ref="B55:J55"/>
    <mergeCell ref="K16:L16"/>
    <mergeCell ref="K29:L29"/>
    <mergeCell ref="K42:L42"/>
    <mergeCell ref="K55:L55"/>
    <mergeCell ref="K68:L68"/>
    <mergeCell ref="C51:H51"/>
    <mergeCell ref="C52:H52"/>
    <mergeCell ref="C53:H53"/>
    <mergeCell ref="C60:H60"/>
    <mergeCell ref="C61:H61"/>
    <mergeCell ref="C62:H62"/>
    <mergeCell ref="C63:H63"/>
    <mergeCell ref="C64:H64"/>
    <mergeCell ref="C65:H65"/>
    <mergeCell ref="B30:H30"/>
    <mergeCell ref="C31:H31"/>
    <mergeCell ref="C32:H32"/>
    <mergeCell ref="C33:H33"/>
    <mergeCell ref="C34:H34"/>
    <mergeCell ref="B17:H17"/>
    <mergeCell ref="C18:H18"/>
    <mergeCell ref="C19:H19"/>
    <mergeCell ref="B43:H43"/>
  </mergeCells>
  <conditionalFormatting sqref="K5:K15 L15 L28 L41 L54 L67 L80 L93:L94 K99:K109 K112:K122 K125:K135 K138:K148 K151:K161 K164:K174 K177:K188">
    <cfRule type="cellIs" dxfId="84" priority="14" operator="lessThan">
      <formula>0</formula>
    </cfRule>
  </conditionalFormatting>
  <conditionalFormatting sqref="K18:K28">
    <cfRule type="cellIs" dxfId="83" priority="6" operator="lessThan">
      <formula>0</formula>
    </cfRule>
  </conditionalFormatting>
  <conditionalFormatting sqref="K31:K41">
    <cfRule type="cellIs" dxfId="82" priority="5" operator="lessThan">
      <formula>0</formula>
    </cfRule>
  </conditionalFormatting>
  <conditionalFormatting sqref="K44:K54">
    <cfRule type="cellIs" dxfId="81" priority="4" operator="lessThan">
      <formula>0</formula>
    </cfRule>
  </conditionalFormatting>
  <conditionalFormatting sqref="K57:K67">
    <cfRule type="cellIs" dxfId="80" priority="3" operator="lessThan">
      <formula>0</formula>
    </cfRule>
  </conditionalFormatting>
  <conditionalFormatting sqref="K70:K80">
    <cfRule type="cellIs" dxfId="79" priority="2" operator="lessThan">
      <formula>0</formula>
    </cfRule>
  </conditionalFormatting>
  <conditionalFormatting sqref="K83:K94">
    <cfRule type="cellIs" dxfId="78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6:K16 A5:B5 A100:K161 A99:H99 A69:K69 A68 C68:K68 A162 C162:K162 A6:J7 A15:J15 M5:IT15 A29:K29 A18:J28 M18:IT28 A42:K42 A31:J41 M31:IT41 A55:K55 A44:J54 M44:IT54 A57:J67 M57:IT67 A81:K81 A70:J71 M70:IT80 A95:K98 A83:J85 A94:J94 M83:IT94 A80:B80 D80:J80 A4:K4 L4:IT4 A17:K17 L17:IT17 A30:K30 L30:IT30 A43:K43 L43:IT43 A56:K56 L56:IT56 L69:IT69 A82:K82 L82:IT82 A76:J79 A72:B75 A2:K3 L2:IT3 L16:IT16 L100:IT161 K99:IT99 L68:IT68 A163:K190 L163:IT190 L162:IT162 L29:IT29 L42:IT42 L55:IT55 L81:IT81 L95:IT98 A191:IT65536 A1:IT1 A10:J14 A8:B8 A87:J93 A86:H86 A9:H9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6"/>
  <dimension ref="B2:Z153"/>
  <sheetViews>
    <sheetView zoomScale="130" zoomScaleNormal="130" workbookViewId="0">
      <selection activeCell="K27" sqref="K27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0" width="18.85546875" style="52" bestFit="1" customWidth="1"/>
    <col min="11" max="11" width="20.5703125" style="52" bestFit="1" customWidth="1"/>
    <col min="12" max="12" width="18.85546875" style="52" bestFit="1" customWidth="1"/>
    <col min="13" max="13" width="18" style="52" bestFit="1" customWidth="1"/>
    <col min="14" max="14" width="20.5703125" style="52" bestFit="1" customWidth="1"/>
    <col min="15" max="15" width="3.7109375" style="52" customWidth="1"/>
    <col min="16" max="16" width="12.5703125" style="52" bestFit="1" customWidth="1"/>
    <col min="17" max="17" width="18.855468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8.28515625" style="52" bestFit="1" customWidth="1"/>
    <col min="24" max="25" width="18.85546875" style="52" bestFit="1" customWidth="1"/>
    <col min="26" max="16384" width="9.140625" style="52"/>
  </cols>
  <sheetData>
    <row r="2" spans="2:26" ht="15" customHeight="1" x14ac:dyDescent="0.25">
      <c r="B2" s="649" t="s">
        <v>3977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ILUMINAÇÃO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27"/>
      <c r="D6" s="828"/>
      <c r="E6" s="828"/>
      <c r="F6" s="828"/>
      <c r="G6" s="828"/>
      <c r="H6" s="18"/>
      <c r="I6" s="2"/>
      <c r="J6" s="460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27"/>
      <c r="D7" s="828"/>
      <c r="E7" s="828"/>
      <c r="F7" s="828"/>
      <c r="G7" s="828"/>
      <c r="H7" s="18"/>
      <c r="I7" s="2"/>
      <c r="J7" s="1"/>
      <c r="K7" s="143">
        <f t="shared" ref="K7:K25" si="0">N7-L7-M7</f>
        <v>0</v>
      </c>
      <c r="L7" s="1"/>
      <c r="M7" s="1"/>
      <c r="N7" s="143">
        <f>I7*J7</f>
        <v>0</v>
      </c>
      <c r="P7" s="168">
        <f t="shared" ref="P7:P20" si="1">B7</f>
        <v>2</v>
      </c>
      <c r="Q7" s="834" t="str">
        <f t="shared" ref="Q7:Q25" si="2">IF(OR(C7=0,C7=""),"",C7)</f>
        <v/>
      </c>
      <c r="R7" s="834"/>
      <c r="S7" s="834"/>
      <c r="T7" s="834"/>
      <c r="U7" s="835"/>
      <c r="V7" s="171" t="str">
        <f t="shared" ref="V7:V25" si="3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27"/>
      <c r="D8" s="828"/>
      <c r="E8" s="828"/>
      <c r="F8" s="828"/>
      <c r="G8" s="828"/>
      <c r="H8" s="18"/>
      <c r="I8" s="2"/>
      <c r="J8" s="1"/>
      <c r="K8" s="143">
        <f t="shared" si="0"/>
        <v>0</v>
      </c>
      <c r="L8" s="1"/>
      <c r="M8" s="1"/>
      <c r="N8" s="143">
        <f t="shared" ref="N8:N25" si="4">I8*J8</f>
        <v>0</v>
      </c>
      <c r="P8" s="168">
        <f t="shared" si="1"/>
        <v>3</v>
      </c>
      <c r="Q8" s="834" t="str">
        <f t="shared" si="2"/>
        <v/>
      </c>
      <c r="R8" s="834"/>
      <c r="S8" s="834"/>
      <c r="T8" s="834"/>
      <c r="U8" s="835"/>
      <c r="V8" s="171" t="str">
        <f t="shared" si="3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27"/>
      <c r="D9" s="828"/>
      <c r="E9" s="828"/>
      <c r="F9" s="828"/>
      <c r="G9" s="828"/>
      <c r="H9" s="18"/>
      <c r="I9" s="2"/>
      <c r="J9" s="1"/>
      <c r="K9" s="143">
        <f t="shared" si="0"/>
        <v>0</v>
      </c>
      <c r="L9" s="1"/>
      <c r="M9" s="1"/>
      <c r="N9" s="143">
        <f t="shared" si="4"/>
        <v>0</v>
      </c>
      <c r="P9" s="168">
        <f t="shared" si="1"/>
        <v>4</v>
      </c>
      <c r="Q9" s="834" t="str">
        <f t="shared" si="2"/>
        <v/>
      </c>
      <c r="R9" s="834"/>
      <c r="S9" s="834"/>
      <c r="T9" s="834"/>
      <c r="U9" s="835"/>
      <c r="V9" s="171" t="str">
        <f t="shared" si="3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27"/>
      <c r="D10" s="828"/>
      <c r="E10" s="828"/>
      <c r="F10" s="828"/>
      <c r="G10" s="828"/>
      <c r="H10" s="18"/>
      <c r="I10" s="2"/>
      <c r="J10" s="1"/>
      <c r="K10" s="143">
        <f t="shared" si="0"/>
        <v>0</v>
      </c>
      <c r="L10" s="1"/>
      <c r="M10" s="1"/>
      <c r="N10" s="143">
        <f t="shared" si="4"/>
        <v>0</v>
      </c>
      <c r="P10" s="168">
        <f t="shared" si="1"/>
        <v>5</v>
      </c>
      <c r="Q10" s="834" t="str">
        <f t="shared" si="2"/>
        <v/>
      </c>
      <c r="R10" s="834"/>
      <c r="S10" s="834"/>
      <c r="T10" s="834"/>
      <c r="U10" s="835"/>
      <c r="V10" s="171" t="str">
        <f t="shared" si="3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27"/>
      <c r="D11" s="828"/>
      <c r="E11" s="828"/>
      <c r="F11" s="828"/>
      <c r="G11" s="828"/>
      <c r="H11" s="18"/>
      <c r="I11" s="2"/>
      <c r="J11" s="1"/>
      <c r="K11" s="143">
        <f t="shared" si="0"/>
        <v>0</v>
      </c>
      <c r="L11" s="1"/>
      <c r="M11" s="1"/>
      <c r="N11" s="143">
        <f t="shared" si="4"/>
        <v>0</v>
      </c>
      <c r="P11" s="168">
        <f t="shared" si="1"/>
        <v>6</v>
      </c>
      <c r="Q11" s="834" t="str">
        <f t="shared" si="2"/>
        <v/>
      </c>
      <c r="R11" s="834"/>
      <c r="S11" s="834"/>
      <c r="T11" s="834"/>
      <c r="U11" s="835"/>
      <c r="V11" s="171" t="str">
        <f t="shared" si="3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27"/>
      <c r="D12" s="828"/>
      <c r="E12" s="828"/>
      <c r="F12" s="828"/>
      <c r="G12" s="828"/>
      <c r="H12" s="18"/>
      <c r="I12" s="2"/>
      <c r="J12" s="1"/>
      <c r="K12" s="143">
        <f t="shared" si="0"/>
        <v>0</v>
      </c>
      <c r="L12" s="1"/>
      <c r="M12" s="1"/>
      <c r="N12" s="143">
        <f t="shared" si="4"/>
        <v>0</v>
      </c>
      <c r="P12" s="168">
        <f t="shared" si="1"/>
        <v>7</v>
      </c>
      <c r="Q12" s="834" t="str">
        <f t="shared" si="2"/>
        <v/>
      </c>
      <c r="R12" s="834"/>
      <c r="S12" s="834"/>
      <c r="T12" s="834"/>
      <c r="U12" s="835"/>
      <c r="V12" s="171" t="str">
        <f t="shared" si="3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27"/>
      <c r="D13" s="828"/>
      <c r="E13" s="828"/>
      <c r="F13" s="828"/>
      <c r="G13" s="828"/>
      <c r="H13" s="18"/>
      <c r="I13" s="2"/>
      <c r="J13" s="1"/>
      <c r="K13" s="143">
        <f t="shared" si="0"/>
        <v>0</v>
      </c>
      <c r="L13" s="1"/>
      <c r="M13" s="1"/>
      <c r="N13" s="143">
        <f t="shared" si="4"/>
        <v>0</v>
      </c>
      <c r="P13" s="168">
        <f t="shared" si="1"/>
        <v>8</v>
      </c>
      <c r="Q13" s="834" t="str">
        <f t="shared" si="2"/>
        <v/>
      </c>
      <c r="R13" s="834"/>
      <c r="S13" s="834"/>
      <c r="T13" s="834"/>
      <c r="U13" s="835"/>
      <c r="V13" s="171" t="str">
        <f t="shared" si="3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27"/>
      <c r="D14" s="828"/>
      <c r="E14" s="828"/>
      <c r="F14" s="828"/>
      <c r="G14" s="828"/>
      <c r="H14" s="18"/>
      <c r="I14" s="2"/>
      <c r="J14" s="1"/>
      <c r="K14" s="143">
        <f t="shared" si="0"/>
        <v>0</v>
      </c>
      <c r="L14" s="1"/>
      <c r="M14" s="1"/>
      <c r="N14" s="143">
        <f t="shared" si="4"/>
        <v>0</v>
      </c>
      <c r="P14" s="168">
        <f t="shared" si="1"/>
        <v>9</v>
      </c>
      <c r="Q14" s="834" t="str">
        <f t="shared" si="2"/>
        <v/>
      </c>
      <c r="R14" s="834"/>
      <c r="S14" s="834"/>
      <c r="T14" s="834"/>
      <c r="U14" s="835"/>
      <c r="V14" s="171" t="str">
        <f t="shared" si="3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27"/>
      <c r="D15" s="828"/>
      <c r="E15" s="828"/>
      <c r="F15" s="828"/>
      <c r="G15" s="828"/>
      <c r="H15" s="18"/>
      <c r="I15" s="2"/>
      <c r="J15" s="1"/>
      <c r="K15" s="143">
        <f t="shared" si="0"/>
        <v>0</v>
      </c>
      <c r="L15" s="1"/>
      <c r="M15" s="1"/>
      <c r="N15" s="143">
        <f t="shared" si="4"/>
        <v>0</v>
      </c>
      <c r="P15" s="168">
        <f t="shared" si="1"/>
        <v>10</v>
      </c>
      <c r="Q15" s="834" t="str">
        <f t="shared" si="2"/>
        <v/>
      </c>
      <c r="R15" s="834"/>
      <c r="S15" s="834"/>
      <c r="T15" s="834"/>
      <c r="U15" s="835"/>
      <c r="V15" s="171" t="str">
        <f t="shared" si="3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27"/>
      <c r="D16" s="828"/>
      <c r="E16" s="828"/>
      <c r="F16" s="828"/>
      <c r="G16" s="828"/>
      <c r="H16" s="18"/>
      <c r="I16" s="2"/>
      <c r="J16" s="1"/>
      <c r="K16" s="143">
        <f>N16-L16-M16</f>
        <v>0</v>
      </c>
      <c r="L16" s="1"/>
      <c r="M16" s="1"/>
      <c r="N16" s="143">
        <f t="shared" si="4"/>
        <v>0</v>
      </c>
      <c r="P16" s="168">
        <f t="shared" si="1"/>
        <v>11</v>
      </c>
      <c r="Q16" s="834" t="str">
        <f t="shared" si="2"/>
        <v/>
      </c>
      <c r="R16" s="834"/>
      <c r="S16" s="834"/>
      <c r="T16" s="834"/>
      <c r="U16" s="835"/>
      <c r="V16" s="171" t="str">
        <f t="shared" si="3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27"/>
      <c r="D17" s="828"/>
      <c r="E17" s="828"/>
      <c r="F17" s="828"/>
      <c r="G17" s="828"/>
      <c r="H17" s="18"/>
      <c r="I17" s="2"/>
      <c r="J17" s="1"/>
      <c r="K17" s="143">
        <f t="shared" si="0"/>
        <v>0</v>
      </c>
      <c r="L17" s="1"/>
      <c r="M17" s="1"/>
      <c r="N17" s="143">
        <f t="shared" si="4"/>
        <v>0</v>
      </c>
      <c r="P17" s="168">
        <f t="shared" si="1"/>
        <v>12</v>
      </c>
      <c r="Q17" s="834" t="str">
        <f t="shared" si="2"/>
        <v/>
      </c>
      <c r="R17" s="834"/>
      <c r="S17" s="834"/>
      <c r="T17" s="834"/>
      <c r="U17" s="835"/>
      <c r="V17" s="171" t="str">
        <f t="shared" si="3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27"/>
      <c r="D18" s="828"/>
      <c r="E18" s="828"/>
      <c r="F18" s="828"/>
      <c r="G18" s="828"/>
      <c r="H18" s="18"/>
      <c r="I18" s="2"/>
      <c r="J18" s="1"/>
      <c r="K18" s="143">
        <f t="shared" si="0"/>
        <v>0</v>
      </c>
      <c r="L18" s="1"/>
      <c r="M18" s="1"/>
      <c r="N18" s="143">
        <f t="shared" si="4"/>
        <v>0</v>
      </c>
      <c r="P18" s="168">
        <f t="shared" si="1"/>
        <v>13</v>
      </c>
      <c r="Q18" s="834" t="str">
        <f t="shared" si="2"/>
        <v/>
      </c>
      <c r="R18" s="834"/>
      <c r="S18" s="834"/>
      <c r="T18" s="834"/>
      <c r="U18" s="835"/>
      <c r="V18" s="171" t="str">
        <f t="shared" si="3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27"/>
      <c r="D19" s="828"/>
      <c r="E19" s="828"/>
      <c r="F19" s="828"/>
      <c r="G19" s="828"/>
      <c r="H19" s="18"/>
      <c r="I19" s="2"/>
      <c r="J19" s="1"/>
      <c r="K19" s="143">
        <f t="shared" si="0"/>
        <v>0</v>
      </c>
      <c r="L19" s="1"/>
      <c r="M19" s="1"/>
      <c r="N19" s="143">
        <f t="shared" si="4"/>
        <v>0</v>
      </c>
      <c r="P19" s="168">
        <f t="shared" si="1"/>
        <v>14</v>
      </c>
      <c r="Q19" s="834" t="str">
        <f t="shared" si="2"/>
        <v/>
      </c>
      <c r="R19" s="834"/>
      <c r="S19" s="834"/>
      <c r="T19" s="834"/>
      <c r="U19" s="835"/>
      <c r="V19" s="171" t="str">
        <f t="shared" si="3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27"/>
      <c r="D20" s="828"/>
      <c r="E20" s="828"/>
      <c r="F20" s="828"/>
      <c r="G20" s="828"/>
      <c r="H20" s="18"/>
      <c r="I20" s="2"/>
      <c r="J20" s="1"/>
      <c r="K20" s="143">
        <f t="shared" si="0"/>
        <v>0</v>
      </c>
      <c r="L20" s="1"/>
      <c r="M20" s="1"/>
      <c r="N20" s="143">
        <f t="shared" si="4"/>
        <v>0</v>
      </c>
      <c r="P20" s="168">
        <f t="shared" si="1"/>
        <v>15</v>
      </c>
      <c r="Q20" s="834" t="str">
        <f t="shared" si="2"/>
        <v/>
      </c>
      <c r="R20" s="834"/>
      <c r="S20" s="834"/>
      <c r="T20" s="834"/>
      <c r="U20" s="835"/>
      <c r="V20" s="171" t="str">
        <f t="shared" si="3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27"/>
      <c r="D21" s="828"/>
      <c r="E21" s="828"/>
      <c r="F21" s="828"/>
      <c r="G21" s="828"/>
      <c r="H21" s="18"/>
      <c r="I21" s="2"/>
      <c r="J21" s="1"/>
      <c r="K21" s="143">
        <f t="shared" si="0"/>
        <v>0</v>
      </c>
      <c r="L21" s="1"/>
      <c r="M21" s="1"/>
      <c r="N21" s="143">
        <f t="shared" si="4"/>
        <v>0</v>
      </c>
      <c r="P21" s="168">
        <f>B21</f>
        <v>16</v>
      </c>
      <c r="Q21" s="834" t="str">
        <f t="shared" si="2"/>
        <v/>
      </c>
      <c r="R21" s="834"/>
      <c r="S21" s="834"/>
      <c r="T21" s="834"/>
      <c r="U21" s="835"/>
      <c r="V21" s="171" t="str">
        <f t="shared" si="3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27"/>
      <c r="D22" s="828"/>
      <c r="E22" s="828"/>
      <c r="F22" s="828"/>
      <c r="G22" s="828"/>
      <c r="H22" s="18"/>
      <c r="I22" s="2"/>
      <c r="J22" s="1"/>
      <c r="K22" s="143">
        <f t="shared" si="0"/>
        <v>0</v>
      </c>
      <c r="L22" s="1"/>
      <c r="M22" s="1"/>
      <c r="N22" s="143">
        <f t="shared" si="4"/>
        <v>0</v>
      </c>
      <c r="P22" s="168">
        <f>B22</f>
        <v>17</v>
      </c>
      <c r="Q22" s="834" t="str">
        <f t="shared" si="2"/>
        <v/>
      </c>
      <c r="R22" s="834"/>
      <c r="S22" s="834"/>
      <c r="T22" s="834"/>
      <c r="U22" s="835"/>
      <c r="V22" s="171" t="str">
        <f t="shared" si="3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27"/>
      <c r="D23" s="828"/>
      <c r="E23" s="828"/>
      <c r="F23" s="828"/>
      <c r="G23" s="828"/>
      <c r="H23" s="18"/>
      <c r="I23" s="2"/>
      <c r="J23" s="1"/>
      <c r="K23" s="143">
        <f t="shared" si="0"/>
        <v>0</v>
      </c>
      <c r="L23" s="1"/>
      <c r="M23" s="1"/>
      <c r="N23" s="143">
        <f t="shared" si="4"/>
        <v>0</v>
      </c>
      <c r="P23" s="168">
        <f>B23</f>
        <v>18</v>
      </c>
      <c r="Q23" s="834" t="str">
        <f t="shared" si="2"/>
        <v/>
      </c>
      <c r="R23" s="834"/>
      <c r="S23" s="834"/>
      <c r="T23" s="834"/>
      <c r="U23" s="835"/>
      <c r="V23" s="171" t="str">
        <f t="shared" si="3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27"/>
      <c r="D24" s="828"/>
      <c r="E24" s="828"/>
      <c r="F24" s="828"/>
      <c r="G24" s="828"/>
      <c r="H24" s="18"/>
      <c r="I24" s="2"/>
      <c r="J24" s="1"/>
      <c r="K24" s="143">
        <f t="shared" si="0"/>
        <v>0</v>
      </c>
      <c r="L24" s="1"/>
      <c r="M24" s="1"/>
      <c r="N24" s="143">
        <f t="shared" si="4"/>
        <v>0</v>
      </c>
      <c r="P24" s="168">
        <f>B24</f>
        <v>19</v>
      </c>
      <c r="Q24" s="834" t="str">
        <f t="shared" si="2"/>
        <v/>
      </c>
      <c r="R24" s="834"/>
      <c r="S24" s="834"/>
      <c r="T24" s="834"/>
      <c r="U24" s="835"/>
      <c r="V24" s="171" t="str">
        <f t="shared" si="3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27"/>
      <c r="D25" s="828"/>
      <c r="E25" s="828"/>
      <c r="F25" s="828"/>
      <c r="G25" s="828"/>
      <c r="H25" s="18"/>
      <c r="I25" s="2"/>
      <c r="J25" s="1"/>
      <c r="K25" s="143">
        <f t="shared" si="0"/>
        <v>0</v>
      </c>
      <c r="L25" s="1"/>
      <c r="M25" s="1"/>
      <c r="N25" s="143">
        <f t="shared" si="4"/>
        <v>0</v>
      </c>
      <c r="P25" s="168">
        <f>B25</f>
        <v>20</v>
      </c>
      <c r="Q25" s="834" t="str">
        <f t="shared" si="2"/>
        <v/>
      </c>
      <c r="R25" s="834"/>
      <c r="S25" s="834"/>
      <c r="T25" s="834"/>
      <c r="U25" s="835"/>
      <c r="V25" s="171" t="str">
        <f t="shared" si="3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4067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(SUM(M6:M26))</f>
        <v>0</v>
      </c>
      <c r="N27" s="181">
        <f>SUM(N6:N26)</f>
        <v>0</v>
      </c>
      <c r="P27" s="883" t="s">
        <v>4068</v>
      </c>
      <c r="Q27" s="884"/>
      <c r="R27" s="884"/>
      <c r="S27" s="884"/>
      <c r="T27" s="884"/>
      <c r="U27" s="884"/>
      <c r="V27" s="885"/>
      <c r="W27" s="182" t="s">
        <v>4069</v>
      </c>
      <c r="X27" s="183">
        <f>SUM(X6:X26)</f>
        <v>0</v>
      </c>
      <c r="Y27" s="183">
        <f>SUM(Y6:Y26)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4071</v>
      </c>
      <c r="Q29" s="190"/>
      <c r="R29" s="191">
        <f>RCB!$G$7</f>
        <v>0</v>
      </c>
      <c r="T29" s="189" t="s">
        <v>4072</v>
      </c>
      <c r="U29" s="190"/>
      <c r="V29" s="191">
        <f>RCB!$J$7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460"/>
      <c r="K31" s="143">
        <f>N31-L31-M31</f>
        <v>0</v>
      </c>
      <c r="L31" s="143">
        <v>0</v>
      </c>
      <c r="M31" s="143">
        <v>0</v>
      </c>
      <c r="N31" s="143">
        <f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ref="K32:K37" si="5">N32-L32-M32</f>
        <v>0</v>
      </c>
      <c r="L32" s="143">
        <v>0</v>
      </c>
      <c r="M32" s="143">
        <v>0</v>
      </c>
      <c r="N32" s="143">
        <f t="shared" ref="N32:N37" si="6">H32*I32*J32</f>
        <v>0</v>
      </c>
    </row>
    <row r="33" spans="2:17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460"/>
      <c r="K33" s="143">
        <f>N33-L33-M33</f>
        <v>0</v>
      </c>
      <c r="L33" s="143">
        <v>0</v>
      </c>
      <c r="M33" s="143">
        <v>0</v>
      </c>
      <c r="N33" s="143">
        <f t="shared" si="6"/>
        <v>0</v>
      </c>
    </row>
    <row r="34" spans="2:17" ht="15" customHeight="1" x14ac:dyDescent="0.25">
      <c r="B34" s="175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7" ht="15" customHeight="1" x14ac:dyDescent="0.25">
      <c r="B35" s="175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7" ht="15" customHeight="1" x14ac:dyDescent="0.25">
      <c r="B36" s="168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7" ht="15" customHeight="1" x14ac:dyDescent="0.25">
      <c r="B37" s="175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  <c r="Q37" s="194"/>
    </row>
    <row r="38" spans="2:17" ht="15" customHeight="1" x14ac:dyDescent="0.25">
      <c r="B38" s="195"/>
      <c r="C38" s="877" t="s">
        <v>4079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7" x14ac:dyDescent="0.25">
      <c r="B39" s="180"/>
      <c r="C39" s="844" t="s">
        <v>4080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(SUM(M27,M38))</f>
        <v>0</v>
      </c>
      <c r="N39" s="181">
        <f>SUM(N27,N38)</f>
        <v>0</v>
      </c>
    </row>
    <row r="40" spans="2:17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7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7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</row>
    <row r="43" spans="2:17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7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17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17" ht="15" customHeight="1" x14ac:dyDescent="0.25">
      <c r="B46" s="195"/>
      <c r="C46" s="848" t="s">
        <v>4082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17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Descarte!K15</f>
        <v>0</v>
      </c>
      <c r="L47" s="143">
        <v>0</v>
      </c>
      <c r="M47" s="143">
        <v>0</v>
      </c>
      <c r="N47" s="143">
        <f>Descarte!L15</f>
        <v>0</v>
      </c>
    </row>
    <row r="48" spans="2:17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'M&amp;V'!M79</f>
        <v>0</v>
      </c>
      <c r="L48" s="143">
        <v>0</v>
      </c>
      <c r="M48" s="143">
        <v>0</v>
      </c>
      <c r="N48" s="143">
        <f>'M&amp;V'!N79</f>
        <v>0</v>
      </c>
      <c r="P48" s="72"/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  <c r="Q51" s="194"/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4083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4084</v>
      </c>
      <c r="D55" s="823"/>
      <c r="E55" s="823"/>
      <c r="F55" s="823"/>
      <c r="G55" s="823"/>
      <c r="H55" s="823"/>
      <c r="I55" s="823"/>
      <c r="J55" s="824"/>
      <c r="K55" s="183">
        <f>SUM(K54,K39)</f>
        <v>0</v>
      </c>
      <c r="L55" s="183">
        <f>SUM(L54,L39)</f>
        <v>0</v>
      </c>
      <c r="M55" s="183">
        <f>SUM(M54,M39)</f>
        <v>0</v>
      </c>
      <c r="N55" s="183">
        <f>SUM(N54,N39)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4029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ILUMINAÇÃO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 t="e">
        <f>IF(AND(K61&gt;0,CustoContabil!#REF!&gt;0),K61*(CustoContabil!#REF!/CustoContabil!#REF!)*W61,0)</f>
        <v>#REF!</v>
      </c>
      <c r="Y61" s="204" t="e">
        <f>IF(AND(N61&gt;0,CustoContabil!#REF!&gt;0),N61*(CustoContabil!#REF!/CustoContabil!#REF!)*W61,0)</f>
        <v>#REF!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111" si="7">N62-L62-M62</f>
        <v>0</v>
      </c>
      <c r="L62" s="142"/>
      <c r="M62" s="142"/>
      <c r="N62" s="158">
        <f t="shared" ref="N62:N111" si="8">I62*J62</f>
        <v>0</v>
      </c>
      <c r="P62" s="201">
        <f t="shared" ref="P62:P110" si="9">B62</f>
        <v>2</v>
      </c>
      <c r="Q62" s="866" t="str">
        <f t="shared" ref="Q62:Q111" si="10">IF(OR(C62=0,C62=""),"",C62)</f>
        <v/>
      </c>
      <c r="R62" s="866"/>
      <c r="S62" s="866"/>
      <c r="T62" s="866"/>
      <c r="U62" s="867"/>
      <c r="V62" s="202" t="str">
        <f t="shared" ref="V62:V111" si="11">IF(N62=0,"",H62)</f>
        <v/>
      </c>
      <c r="W62" s="203">
        <f>IF(OR(V62="",V62=0),0,(Projeto!$AD$8*((1+Projeto!$AD$8)^V62))/(((1+Projeto!$AD$8)^V62)-1))</f>
        <v>0</v>
      </c>
      <c r="X62" s="204" t="e">
        <f>IF(AND(K62&gt;0,CustoContabil!#REF!&gt;0),K62*(CustoContabil!#REF!/CustoContabil!#REF!)*W62,0)</f>
        <v>#REF!</v>
      </c>
      <c r="Y62" s="204" t="e">
        <f>IF(AND(N62&gt;0,CustoContabil!#REF!&gt;0),N62*(CustoContabil!#REF!/CustoContabil!#REF!)*W62,0)</f>
        <v>#REF!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 t="e">
        <f>IF(AND(K63&gt;0,CustoContabil!#REF!&gt;0),K63*(CustoContabil!#REF!/CustoContabil!#REF!)*W63,0)</f>
        <v>#REF!</v>
      </c>
      <c r="Y63" s="204" t="e">
        <f>IF(AND(N63&gt;0,CustoContabil!#REF!&gt;0),N63*(CustoContabil!#REF!/CustoContabil!#REF!)*W63,0)</f>
        <v>#REF!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 t="e">
        <f>IF(AND(K64&gt;0,CustoContabil!#REF!&gt;0),K64*(CustoContabil!#REF!/CustoContabil!#REF!)*W64,0)</f>
        <v>#REF!</v>
      </c>
      <c r="Y64" s="204" t="e">
        <f>IF(AND(N64&gt;0,CustoContabil!#REF!&gt;0),N64*(CustoContabil!#REF!/CustoContabil!#REF!)*W64,0)</f>
        <v>#REF!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 t="e">
        <f>IF(AND(K65&gt;0,CustoContabil!#REF!&gt;0),K65*(CustoContabil!#REF!/CustoContabil!#REF!)*W65,0)</f>
        <v>#REF!</v>
      </c>
      <c r="Y65" s="204" t="e">
        <f>IF(AND(N65&gt;0,CustoContabil!#REF!&gt;0),N65*(CustoContabil!#REF!/CustoContabil!#REF!)*W65,0)</f>
        <v>#REF!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 t="e">
        <f>IF(AND(K66&gt;0,CustoContabil!#REF!&gt;0),K66*(CustoContabil!#REF!/CustoContabil!#REF!)*W66,0)</f>
        <v>#REF!</v>
      </c>
      <c r="Y66" s="204" t="e">
        <f>IF(AND(N66&gt;0,CustoContabil!#REF!&gt;0),N66*(CustoContabil!#REF!/CustoContabil!#REF!)*W66,0)</f>
        <v>#REF!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 t="e">
        <f>IF(AND(K67&gt;0,CustoContabil!#REF!&gt;0),K67*(CustoContabil!#REF!/CustoContabil!#REF!)*W67,0)</f>
        <v>#REF!</v>
      </c>
      <c r="Y67" s="204" t="e">
        <f>IF(AND(N67&gt;0,CustoContabil!#REF!&gt;0),N67*(CustoContabil!#REF!/CustoContabil!#REF!)*W67,0)</f>
        <v>#REF!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 t="e">
        <f>IF(AND(K68&gt;0,CustoContabil!#REF!&gt;0),K68*(CustoContabil!#REF!/CustoContabil!#REF!)*W68,0)</f>
        <v>#REF!</v>
      </c>
      <c r="Y68" s="204" t="e">
        <f>IF(AND(N68&gt;0,CustoContabil!#REF!&gt;0),N68*(CustoContabil!#REF!/CustoContabil!#REF!)*W68,0)</f>
        <v>#REF!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 t="e">
        <f>IF(AND(K69&gt;0,CustoContabil!#REF!&gt;0),K69*(CustoContabil!#REF!/CustoContabil!#REF!)*W69,0)</f>
        <v>#REF!</v>
      </c>
      <c r="Y69" s="204" t="e">
        <f>IF(AND(N69&gt;0,CustoContabil!#REF!&gt;0),N69*(CustoContabil!#REF!/CustoContabil!#REF!)*W69,0)</f>
        <v>#REF!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 t="e">
        <f>IF(AND(K70&gt;0,CustoContabil!#REF!&gt;0),K70*(CustoContabil!#REF!/CustoContabil!#REF!)*W70,0)</f>
        <v>#REF!</v>
      </c>
      <c r="Y70" s="204" t="e">
        <f>IF(AND(N70&gt;0,CustoContabil!#REF!&gt;0),N70*(CustoContabil!#REF!/CustoContabil!#REF!)*W70,0)</f>
        <v>#REF!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 t="e">
        <f>IF(AND(K71&gt;0,CustoContabil!#REF!&gt;0),K71*(CustoContabil!#REF!/CustoContabil!#REF!)*W71,0)</f>
        <v>#REF!</v>
      </c>
      <c r="Y71" s="204" t="e">
        <f>IF(AND(N71&gt;0,CustoContabil!#REF!&gt;0),N71*(CustoContabil!#REF!/CustoContabil!#REF!)*W71,0)</f>
        <v>#REF!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 t="e">
        <f>IF(AND(K72&gt;0,CustoContabil!#REF!&gt;0),K72*(CustoContabil!#REF!/CustoContabil!#REF!)*W72,0)</f>
        <v>#REF!</v>
      </c>
      <c r="Y72" s="204" t="e">
        <f>IF(AND(N72&gt;0,CustoContabil!#REF!&gt;0),N72*(CustoContabil!#REF!/CustoContabil!#REF!)*W72,0)</f>
        <v>#REF!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 t="e">
        <f>IF(AND(K73&gt;0,CustoContabil!#REF!&gt;0),K73*(CustoContabil!#REF!/CustoContabil!#REF!)*W73,0)</f>
        <v>#REF!</v>
      </c>
      <c r="Y73" s="204" t="e">
        <f>IF(AND(N73&gt;0,CustoContabil!#REF!&gt;0),N73*(CustoContabil!#REF!/CustoContabil!#REF!)*W73,0)</f>
        <v>#REF!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 t="e">
        <f>IF(AND(K74&gt;0,CustoContabil!#REF!&gt;0),K74*(CustoContabil!#REF!/CustoContabil!#REF!)*W74,0)</f>
        <v>#REF!</v>
      </c>
      <c r="Y74" s="204" t="e">
        <f>IF(AND(N74&gt;0,CustoContabil!#REF!&gt;0),N74*(CustoContabil!#REF!/CustoContabil!#REF!)*W74,0)</f>
        <v>#REF!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 t="e">
        <f>IF(AND(K75&gt;0,CustoContabil!#REF!&gt;0),K75*(CustoContabil!#REF!/CustoContabil!#REF!)*W75,0)</f>
        <v>#REF!</v>
      </c>
      <c r="Y75" s="204" t="e">
        <f>IF(AND(N75&gt;0,CustoContabil!#REF!&gt;0),N75*(CustoContabil!#REF!/CustoContabil!#REF!)*W75,0)</f>
        <v>#REF!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 t="e">
        <f>IF(AND(K76&gt;0,CustoContabil!#REF!&gt;0),K76*(CustoContabil!#REF!/CustoContabil!#REF!)*W76,0)</f>
        <v>#REF!</v>
      </c>
      <c r="Y76" s="204" t="e">
        <f>IF(AND(N76&gt;0,CustoContabil!#REF!&gt;0),N76*(CustoContabil!#REF!/CustoContabil!#REF!)*W76,0)</f>
        <v>#REF!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 t="e">
        <f>IF(AND(K77&gt;0,CustoContabil!#REF!&gt;0),K77*(CustoContabil!#REF!/CustoContabil!#REF!)*W77,0)</f>
        <v>#REF!</v>
      </c>
      <c r="Y77" s="204" t="e">
        <f>IF(AND(N77&gt;0,CustoContabil!#REF!&gt;0),N77*(CustoContabil!#REF!/CustoContabil!#REF!)*W77,0)</f>
        <v>#REF!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 t="e">
        <f>IF(AND(K78&gt;0,CustoContabil!#REF!&gt;0),K78*(CustoContabil!#REF!/CustoContabil!#REF!)*W78,0)</f>
        <v>#REF!</v>
      </c>
      <c r="Y78" s="204" t="e">
        <f>IF(AND(N78&gt;0,CustoContabil!#REF!&gt;0),N78*(CustoContabil!#REF!/CustoContabil!#REF!)*W78,0)</f>
        <v>#REF!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 t="e">
        <f>IF(AND(K79&gt;0,CustoContabil!#REF!&gt;0),K79*(CustoContabil!#REF!/CustoContabil!#REF!)*W79,0)</f>
        <v>#REF!</v>
      </c>
      <c r="Y79" s="204" t="e">
        <f>IF(AND(N79&gt;0,CustoContabil!#REF!&gt;0),N79*(CustoContabil!#REF!/CustoContabil!#REF!)*W79,0)</f>
        <v>#REF!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 t="e">
        <f>IF(AND(K80&gt;0,CustoContabil!#REF!&gt;0),K80*(CustoContabil!#REF!/CustoContabil!#REF!)*W80,0)</f>
        <v>#REF!</v>
      </c>
      <c r="Y80" s="204" t="e">
        <f>IF(AND(N80&gt;0,CustoContabil!#REF!&gt;0),N80*(CustoContabil!#REF!/CustoContabil!#REF!)*W80,0)</f>
        <v>#REF!</v>
      </c>
    </row>
    <row r="81" spans="2:25" ht="15" hidden="1" customHeight="1" x14ac:dyDescent="0.25">
      <c r="B81" s="201">
        <v>21</v>
      </c>
      <c r="C81" s="853"/>
      <c r="D81" s="854"/>
      <c r="E81" s="854"/>
      <c r="F81" s="854"/>
      <c r="G81" s="854"/>
      <c r="H81" s="176"/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>
        <f t="shared" si="9"/>
        <v>21</v>
      </c>
      <c r="Q81" s="866" t="str">
        <f t="shared" si="10"/>
        <v/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 t="e">
        <f>IF(AND(K81&gt;0,CustoContabil!#REF!&gt;0),K81*(CustoContabil!#REF!/CustoContabil!#REF!)*W81,0)</f>
        <v>#REF!</v>
      </c>
      <c r="Y81" s="204" t="e">
        <f>IF(AND(N81&gt;0,CustoContabil!#REF!&gt;0),N81*(CustoContabil!#REF!/CustoContabil!#REF!)*W81,0)</f>
        <v>#REF!</v>
      </c>
    </row>
    <row r="82" spans="2:25" ht="15" hidden="1" customHeight="1" x14ac:dyDescent="0.25">
      <c r="B82" s="201">
        <v>22</v>
      </c>
      <c r="C82" s="853"/>
      <c r="D82" s="854"/>
      <c r="E82" s="854"/>
      <c r="F82" s="854"/>
      <c r="G82" s="854"/>
      <c r="H82" s="176"/>
      <c r="I82" s="177"/>
      <c r="J82" s="142"/>
      <c r="K82" s="158">
        <f t="shared" si="7"/>
        <v>0</v>
      </c>
      <c r="L82" s="142"/>
      <c r="M82" s="142"/>
      <c r="N82" s="158">
        <f t="shared" si="8"/>
        <v>0</v>
      </c>
      <c r="P82" s="201">
        <f t="shared" si="9"/>
        <v>22</v>
      </c>
      <c r="Q82" s="866" t="str">
        <f t="shared" si="10"/>
        <v/>
      </c>
      <c r="R82" s="866"/>
      <c r="S82" s="866"/>
      <c r="T82" s="866"/>
      <c r="U82" s="867"/>
      <c r="V82" s="202" t="str">
        <f t="shared" si="11"/>
        <v/>
      </c>
      <c r="W82" s="203">
        <f>IF(OR(V82="",V82=0),0,(Projeto!$AD$8*((1+Projeto!$AD$8)^V82))/(((1+Projeto!$AD$8)^V82)-1))</f>
        <v>0</v>
      </c>
      <c r="X82" s="204" t="e">
        <f>IF(AND(K82&gt;0,CustoContabil!#REF!&gt;0),K82*(CustoContabil!#REF!/CustoContabil!#REF!)*W82,0)</f>
        <v>#REF!</v>
      </c>
      <c r="Y82" s="204" t="e">
        <f>IF(AND(N82&gt;0,CustoContabil!#REF!&gt;0),N82*(CustoContabil!#REF!/CustoContabil!#REF!)*W82,0)</f>
        <v>#REF!</v>
      </c>
    </row>
    <row r="83" spans="2:25" ht="15" hidden="1" customHeight="1" x14ac:dyDescent="0.25">
      <c r="B83" s="201">
        <v>23</v>
      </c>
      <c r="C83" s="853"/>
      <c r="D83" s="854"/>
      <c r="E83" s="854"/>
      <c r="F83" s="854"/>
      <c r="G83" s="854"/>
      <c r="H83" s="176"/>
      <c r="I83" s="177"/>
      <c r="J83" s="142"/>
      <c r="K83" s="158">
        <f t="shared" si="7"/>
        <v>0</v>
      </c>
      <c r="L83" s="142"/>
      <c r="M83" s="142"/>
      <c r="N83" s="158">
        <f t="shared" si="8"/>
        <v>0</v>
      </c>
      <c r="P83" s="201">
        <f t="shared" si="9"/>
        <v>23</v>
      </c>
      <c r="Q83" s="866" t="str">
        <f t="shared" si="10"/>
        <v/>
      </c>
      <c r="R83" s="866"/>
      <c r="S83" s="866"/>
      <c r="T83" s="866"/>
      <c r="U83" s="867"/>
      <c r="V83" s="202" t="str">
        <f t="shared" si="11"/>
        <v/>
      </c>
      <c r="W83" s="203">
        <f>IF(OR(V83="",V83=0),0,(Projeto!$AD$8*((1+Projeto!$AD$8)^V83))/(((1+Projeto!$AD$8)^V83)-1))</f>
        <v>0</v>
      </c>
      <c r="X83" s="204" t="e">
        <f>IF(AND(K83&gt;0,CustoContabil!#REF!&gt;0),K83*(CustoContabil!#REF!/CustoContabil!#REF!)*W83,0)</f>
        <v>#REF!</v>
      </c>
      <c r="Y83" s="204" t="e">
        <f>IF(AND(N83&gt;0,CustoContabil!#REF!&gt;0),N83*(CustoContabil!#REF!/CustoContabil!#REF!)*W83,0)</f>
        <v>#REF!</v>
      </c>
    </row>
    <row r="84" spans="2:25" ht="15" hidden="1" customHeight="1" x14ac:dyDescent="0.25">
      <c r="B84" s="201">
        <v>24</v>
      </c>
      <c r="C84" s="853"/>
      <c r="D84" s="854"/>
      <c r="E84" s="854"/>
      <c r="F84" s="854"/>
      <c r="G84" s="854"/>
      <c r="H84" s="176"/>
      <c r="I84" s="177"/>
      <c r="J84" s="142"/>
      <c r="K84" s="158">
        <f t="shared" si="7"/>
        <v>0</v>
      </c>
      <c r="L84" s="142"/>
      <c r="M84" s="142"/>
      <c r="N84" s="158">
        <f t="shared" si="8"/>
        <v>0</v>
      </c>
      <c r="P84" s="201">
        <f t="shared" si="9"/>
        <v>24</v>
      </c>
      <c r="Q84" s="866" t="str">
        <f t="shared" si="10"/>
        <v/>
      </c>
      <c r="R84" s="866"/>
      <c r="S84" s="866"/>
      <c r="T84" s="866"/>
      <c r="U84" s="867"/>
      <c r="V84" s="202" t="str">
        <f t="shared" si="11"/>
        <v/>
      </c>
      <c r="W84" s="203">
        <f>IF(OR(V84="",V84=0),0,(Projeto!$AD$8*((1+Projeto!$AD$8)^V84))/(((1+Projeto!$AD$8)^V84)-1))</f>
        <v>0</v>
      </c>
      <c r="X84" s="204" t="e">
        <f>IF(AND(K84&gt;0,CustoContabil!#REF!&gt;0),K84*(CustoContabil!#REF!/CustoContabil!#REF!)*W84,0)</f>
        <v>#REF!</v>
      </c>
      <c r="Y84" s="204" t="e">
        <f>IF(AND(N84&gt;0,CustoContabil!#REF!&gt;0),N84*(CustoContabil!#REF!/CustoContabil!#REF!)*W84,0)</f>
        <v>#REF!</v>
      </c>
    </row>
    <row r="85" spans="2:25" ht="15" hidden="1" customHeight="1" x14ac:dyDescent="0.25">
      <c r="B85" s="201">
        <v>25</v>
      </c>
      <c r="C85" s="853"/>
      <c r="D85" s="854"/>
      <c r="E85" s="854"/>
      <c r="F85" s="854"/>
      <c r="G85" s="854"/>
      <c r="H85" s="176"/>
      <c r="I85" s="177"/>
      <c r="J85" s="142"/>
      <c r="K85" s="158">
        <f t="shared" si="7"/>
        <v>0</v>
      </c>
      <c r="L85" s="142"/>
      <c r="M85" s="142"/>
      <c r="N85" s="158">
        <f t="shared" si="8"/>
        <v>0</v>
      </c>
      <c r="P85" s="201">
        <f t="shared" si="9"/>
        <v>25</v>
      </c>
      <c r="Q85" s="866" t="str">
        <f t="shared" si="10"/>
        <v/>
      </c>
      <c r="R85" s="866"/>
      <c r="S85" s="866"/>
      <c r="T85" s="866"/>
      <c r="U85" s="867"/>
      <c r="V85" s="202" t="str">
        <f t="shared" si="11"/>
        <v/>
      </c>
      <c r="W85" s="203">
        <f>IF(OR(V85="",V85=0),0,(Projeto!$AD$8*((1+Projeto!$AD$8)^V85))/(((1+Projeto!$AD$8)^V85)-1))</f>
        <v>0</v>
      </c>
      <c r="X85" s="204" t="e">
        <f>IF(AND(K85&gt;0,CustoContabil!#REF!&gt;0),K85*(CustoContabil!#REF!/CustoContabil!#REF!)*W85,0)</f>
        <v>#REF!</v>
      </c>
      <c r="Y85" s="204" t="e">
        <f>IF(AND(N85&gt;0,CustoContabil!#REF!&gt;0),N85*(CustoContabil!#REF!/CustoContabil!#REF!)*W85,0)</f>
        <v>#REF!</v>
      </c>
    </row>
    <row r="86" spans="2:25" ht="15" hidden="1" customHeight="1" x14ac:dyDescent="0.25">
      <c r="B86" s="201">
        <v>26</v>
      </c>
      <c r="C86" s="853"/>
      <c r="D86" s="854"/>
      <c r="E86" s="854"/>
      <c r="F86" s="854"/>
      <c r="G86" s="854"/>
      <c r="H86" s="176"/>
      <c r="I86" s="177"/>
      <c r="J86" s="142"/>
      <c r="K86" s="158">
        <f t="shared" si="7"/>
        <v>0</v>
      </c>
      <c r="L86" s="142"/>
      <c r="M86" s="142"/>
      <c r="N86" s="158">
        <f t="shared" si="8"/>
        <v>0</v>
      </c>
      <c r="P86" s="201">
        <f t="shared" si="9"/>
        <v>26</v>
      </c>
      <c r="Q86" s="866" t="str">
        <f t="shared" si="10"/>
        <v/>
      </c>
      <c r="R86" s="866"/>
      <c r="S86" s="866"/>
      <c r="T86" s="866"/>
      <c r="U86" s="867"/>
      <c r="V86" s="202" t="str">
        <f t="shared" si="11"/>
        <v/>
      </c>
      <c r="W86" s="203">
        <f>IF(OR(V86="",V86=0),0,(Projeto!$AD$8*((1+Projeto!$AD$8)^V86))/(((1+Projeto!$AD$8)^V86)-1))</f>
        <v>0</v>
      </c>
      <c r="X86" s="204" t="e">
        <f>IF(AND(K86&gt;0,CustoContabil!#REF!&gt;0),K86*(CustoContabil!#REF!/CustoContabil!#REF!)*W86,0)</f>
        <v>#REF!</v>
      </c>
      <c r="Y86" s="204" t="e">
        <f>IF(AND(N86&gt;0,CustoContabil!#REF!&gt;0),N86*(CustoContabil!#REF!/CustoContabil!#REF!)*W86,0)</f>
        <v>#REF!</v>
      </c>
    </row>
    <row r="87" spans="2:25" ht="15" hidden="1" customHeight="1" x14ac:dyDescent="0.25">
      <c r="B87" s="201">
        <v>27</v>
      </c>
      <c r="C87" s="853"/>
      <c r="D87" s="854"/>
      <c r="E87" s="854"/>
      <c r="F87" s="854"/>
      <c r="G87" s="854"/>
      <c r="H87" s="176"/>
      <c r="I87" s="177"/>
      <c r="J87" s="142"/>
      <c r="K87" s="158">
        <f t="shared" si="7"/>
        <v>0</v>
      </c>
      <c r="L87" s="142"/>
      <c r="M87" s="142"/>
      <c r="N87" s="158">
        <f t="shared" si="8"/>
        <v>0</v>
      </c>
      <c r="P87" s="201">
        <f t="shared" si="9"/>
        <v>27</v>
      </c>
      <c r="Q87" s="866" t="str">
        <f t="shared" si="10"/>
        <v/>
      </c>
      <c r="R87" s="866"/>
      <c r="S87" s="866"/>
      <c r="T87" s="866"/>
      <c r="U87" s="867"/>
      <c r="V87" s="202" t="str">
        <f t="shared" si="11"/>
        <v/>
      </c>
      <c r="W87" s="203">
        <f>IF(OR(V87="",V87=0),0,(Projeto!$AD$8*((1+Projeto!$AD$8)^V87))/(((1+Projeto!$AD$8)^V87)-1))</f>
        <v>0</v>
      </c>
      <c r="X87" s="204" t="e">
        <f>IF(AND(K87&gt;0,CustoContabil!#REF!&gt;0),K87*(CustoContabil!#REF!/CustoContabil!#REF!)*W87,0)</f>
        <v>#REF!</v>
      </c>
      <c r="Y87" s="204" t="e">
        <f>IF(AND(N87&gt;0,CustoContabil!#REF!&gt;0),N87*(CustoContabil!#REF!/CustoContabil!#REF!)*W87,0)</f>
        <v>#REF!</v>
      </c>
    </row>
    <row r="88" spans="2:25" ht="15" hidden="1" customHeight="1" x14ac:dyDescent="0.25">
      <c r="B88" s="201">
        <v>28</v>
      </c>
      <c r="C88" s="853"/>
      <c r="D88" s="854"/>
      <c r="E88" s="854"/>
      <c r="F88" s="854"/>
      <c r="G88" s="854"/>
      <c r="H88" s="176"/>
      <c r="I88" s="177"/>
      <c r="J88" s="142"/>
      <c r="K88" s="158">
        <f t="shared" si="7"/>
        <v>0</v>
      </c>
      <c r="L88" s="142"/>
      <c r="M88" s="142"/>
      <c r="N88" s="158">
        <f t="shared" si="8"/>
        <v>0</v>
      </c>
      <c r="P88" s="201">
        <f t="shared" si="9"/>
        <v>28</v>
      </c>
      <c r="Q88" s="866" t="str">
        <f t="shared" si="10"/>
        <v/>
      </c>
      <c r="R88" s="866"/>
      <c r="S88" s="866"/>
      <c r="T88" s="866"/>
      <c r="U88" s="867"/>
      <c r="V88" s="202" t="str">
        <f t="shared" si="11"/>
        <v/>
      </c>
      <c r="W88" s="203">
        <f>IF(OR(V88="",V88=0),0,(Projeto!$AD$8*((1+Projeto!$AD$8)^V88))/(((1+Projeto!$AD$8)^V88)-1))</f>
        <v>0</v>
      </c>
      <c r="X88" s="204" t="e">
        <f>IF(AND(K88&gt;0,CustoContabil!#REF!&gt;0),K88*(CustoContabil!#REF!/CustoContabil!#REF!)*W88,0)</f>
        <v>#REF!</v>
      </c>
      <c r="Y88" s="204" t="e">
        <f>IF(AND(N88&gt;0,CustoContabil!#REF!&gt;0),N88*(CustoContabil!#REF!/CustoContabil!#REF!)*W88,0)</f>
        <v>#REF!</v>
      </c>
    </row>
    <row r="89" spans="2:25" ht="15" hidden="1" customHeight="1" x14ac:dyDescent="0.25">
      <c r="B89" s="201">
        <v>29</v>
      </c>
      <c r="C89" s="853"/>
      <c r="D89" s="854"/>
      <c r="E89" s="854"/>
      <c r="F89" s="854"/>
      <c r="G89" s="854"/>
      <c r="H89" s="176"/>
      <c r="I89" s="177"/>
      <c r="J89" s="142"/>
      <c r="K89" s="158">
        <f t="shared" si="7"/>
        <v>0</v>
      </c>
      <c r="L89" s="142"/>
      <c r="M89" s="142"/>
      <c r="N89" s="158">
        <f t="shared" si="8"/>
        <v>0</v>
      </c>
      <c r="P89" s="201">
        <f t="shared" si="9"/>
        <v>29</v>
      </c>
      <c r="Q89" s="866" t="str">
        <f t="shared" si="10"/>
        <v/>
      </c>
      <c r="R89" s="866"/>
      <c r="S89" s="866"/>
      <c r="T89" s="866"/>
      <c r="U89" s="867"/>
      <c r="V89" s="202" t="str">
        <f t="shared" si="11"/>
        <v/>
      </c>
      <c r="W89" s="203">
        <f>IF(OR(V89="",V89=0),0,(Projeto!$AD$8*((1+Projeto!$AD$8)^V89))/(((1+Projeto!$AD$8)^V89)-1))</f>
        <v>0</v>
      </c>
      <c r="X89" s="204" t="e">
        <f>IF(AND(K89&gt;0,CustoContabil!#REF!&gt;0),K89*(CustoContabil!#REF!/CustoContabil!#REF!)*W89,0)</f>
        <v>#REF!</v>
      </c>
      <c r="Y89" s="204" t="e">
        <f>IF(AND(N89&gt;0,CustoContabil!#REF!&gt;0),N89*(CustoContabil!#REF!/CustoContabil!#REF!)*W89,0)</f>
        <v>#REF!</v>
      </c>
    </row>
    <row r="90" spans="2:25" ht="15" hidden="1" customHeight="1" x14ac:dyDescent="0.25">
      <c r="B90" s="201">
        <v>30</v>
      </c>
      <c r="C90" s="853"/>
      <c r="D90" s="854"/>
      <c r="E90" s="854"/>
      <c r="F90" s="854"/>
      <c r="G90" s="854"/>
      <c r="H90" s="176"/>
      <c r="I90" s="177"/>
      <c r="J90" s="142"/>
      <c r="K90" s="158">
        <f t="shared" si="7"/>
        <v>0</v>
      </c>
      <c r="L90" s="142"/>
      <c r="M90" s="142"/>
      <c r="N90" s="158">
        <f t="shared" si="8"/>
        <v>0</v>
      </c>
      <c r="P90" s="201">
        <f t="shared" si="9"/>
        <v>30</v>
      </c>
      <c r="Q90" s="866" t="str">
        <f t="shared" si="10"/>
        <v/>
      </c>
      <c r="R90" s="866"/>
      <c r="S90" s="866"/>
      <c r="T90" s="866"/>
      <c r="U90" s="867"/>
      <c r="V90" s="202" t="str">
        <f t="shared" si="11"/>
        <v/>
      </c>
      <c r="W90" s="203">
        <f>IF(OR(V90="",V90=0),0,(Projeto!$AD$8*((1+Projeto!$AD$8)^V90))/(((1+Projeto!$AD$8)^V90)-1))</f>
        <v>0</v>
      </c>
      <c r="X90" s="204" t="e">
        <f>IF(AND(K90&gt;0,CustoContabil!#REF!&gt;0),K90*(CustoContabil!#REF!/CustoContabil!#REF!)*W90,0)</f>
        <v>#REF!</v>
      </c>
      <c r="Y90" s="204" t="e">
        <f>IF(AND(N90&gt;0,CustoContabil!#REF!&gt;0),N90*(CustoContabil!#REF!/CustoContabil!#REF!)*W90,0)</f>
        <v>#REF!</v>
      </c>
    </row>
    <row r="91" spans="2:25" ht="15" hidden="1" customHeight="1" x14ac:dyDescent="0.25">
      <c r="B91" s="201">
        <v>31</v>
      </c>
      <c r="C91" s="853"/>
      <c r="D91" s="854"/>
      <c r="E91" s="854"/>
      <c r="F91" s="854"/>
      <c r="G91" s="854"/>
      <c r="H91" s="176"/>
      <c r="I91" s="177"/>
      <c r="J91" s="142"/>
      <c r="K91" s="158">
        <f t="shared" si="7"/>
        <v>0</v>
      </c>
      <c r="L91" s="142"/>
      <c r="M91" s="142"/>
      <c r="N91" s="158">
        <f t="shared" si="8"/>
        <v>0</v>
      </c>
      <c r="P91" s="201">
        <f t="shared" si="9"/>
        <v>31</v>
      </c>
      <c r="Q91" s="866" t="str">
        <f t="shared" si="10"/>
        <v/>
      </c>
      <c r="R91" s="866"/>
      <c r="S91" s="866"/>
      <c r="T91" s="866"/>
      <c r="U91" s="867"/>
      <c r="V91" s="202" t="str">
        <f t="shared" si="11"/>
        <v/>
      </c>
      <c r="W91" s="203">
        <f>IF(OR(V91="",V91=0),0,(Projeto!$AD$8*((1+Projeto!$AD$8)^V91))/(((1+Projeto!$AD$8)^V91)-1))</f>
        <v>0</v>
      </c>
      <c r="X91" s="204" t="e">
        <f>IF(AND(K91&gt;0,CustoContabil!#REF!&gt;0),K91*(CustoContabil!#REF!/CustoContabil!#REF!)*W91,0)</f>
        <v>#REF!</v>
      </c>
      <c r="Y91" s="204" t="e">
        <f>IF(AND(N91&gt;0,CustoContabil!#REF!&gt;0),N91*(CustoContabil!#REF!/CustoContabil!#REF!)*W91,0)</f>
        <v>#REF!</v>
      </c>
    </row>
    <row r="92" spans="2:25" ht="15" hidden="1" customHeight="1" x14ac:dyDescent="0.25">
      <c r="B92" s="201">
        <v>32</v>
      </c>
      <c r="C92" s="853"/>
      <c r="D92" s="854"/>
      <c r="E92" s="854"/>
      <c r="F92" s="854"/>
      <c r="G92" s="854"/>
      <c r="H92" s="176"/>
      <c r="I92" s="177"/>
      <c r="J92" s="142"/>
      <c r="K92" s="158">
        <f t="shared" si="7"/>
        <v>0</v>
      </c>
      <c r="L92" s="142"/>
      <c r="M92" s="142"/>
      <c r="N92" s="158">
        <f t="shared" si="8"/>
        <v>0</v>
      </c>
      <c r="P92" s="201">
        <f t="shared" si="9"/>
        <v>32</v>
      </c>
      <c r="Q92" s="866" t="str">
        <f t="shared" si="10"/>
        <v/>
      </c>
      <c r="R92" s="866"/>
      <c r="S92" s="866"/>
      <c r="T92" s="866"/>
      <c r="U92" s="867"/>
      <c r="V92" s="202" t="str">
        <f t="shared" si="11"/>
        <v/>
      </c>
      <c r="W92" s="203">
        <f>IF(OR(V92="",V92=0),0,(Projeto!$AD$8*((1+Projeto!$AD$8)^V92))/(((1+Projeto!$AD$8)^V92)-1))</f>
        <v>0</v>
      </c>
      <c r="X92" s="204" t="e">
        <f>IF(AND(K92&gt;0,CustoContabil!#REF!&gt;0),K92*(CustoContabil!#REF!/CustoContabil!#REF!)*W92,0)</f>
        <v>#REF!</v>
      </c>
      <c r="Y92" s="204" t="e">
        <f>IF(AND(N92&gt;0,CustoContabil!#REF!&gt;0),N92*(CustoContabil!#REF!/CustoContabil!#REF!)*W92,0)</f>
        <v>#REF!</v>
      </c>
    </row>
    <row r="93" spans="2:25" ht="15" hidden="1" customHeight="1" x14ac:dyDescent="0.25">
      <c r="B93" s="201">
        <v>33</v>
      </c>
      <c r="C93" s="853"/>
      <c r="D93" s="854"/>
      <c r="E93" s="854"/>
      <c r="F93" s="854"/>
      <c r="G93" s="854"/>
      <c r="H93" s="176"/>
      <c r="I93" s="177"/>
      <c r="J93" s="142"/>
      <c r="K93" s="158">
        <f t="shared" si="7"/>
        <v>0</v>
      </c>
      <c r="L93" s="142"/>
      <c r="M93" s="142"/>
      <c r="N93" s="158">
        <f t="shared" si="8"/>
        <v>0</v>
      </c>
      <c r="P93" s="201">
        <f t="shared" si="9"/>
        <v>33</v>
      </c>
      <c r="Q93" s="866" t="str">
        <f t="shared" si="10"/>
        <v/>
      </c>
      <c r="R93" s="866"/>
      <c r="S93" s="866"/>
      <c r="T93" s="866"/>
      <c r="U93" s="867"/>
      <c r="V93" s="202" t="str">
        <f t="shared" si="11"/>
        <v/>
      </c>
      <c r="W93" s="203">
        <f>IF(OR(V93="",V93=0),0,(Projeto!$AD$8*((1+Projeto!$AD$8)^V93))/(((1+Projeto!$AD$8)^V93)-1))</f>
        <v>0</v>
      </c>
      <c r="X93" s="204" t="e">
        <f>IF(AND(K93&gt;0,CustoContabil!#REF!&gt;0),K93*(CustoContabil!#REF!/CustoContabil!#REF!)*W93,0)</f>
        <v>#REF!</v>
      </c>
      <c r="Y93" s="204" t="e">
        <f>IF(AND(N93&gt;0,CustoContabil!#REF!&gt;0),N93*(CustoContabil!#REF!/CustoContabil!#REF!)*W93,0)</f>
        <v>#REF!</v>
      </c>
    </row>
    <row r="94" spans="2:25" ht="15" hidden="1" customHeight="1" x14ac:dyDescent="0.25">
      <c r="B94" s="201">
        <v>34</v>
      </c>
      <c r="C94" s="853"/>
      <c r="D94" s="854"/>
      <c r="E94" s="854"/>
      <c r="F94" s="854"/>
      <c r="G94" s="854"/>
      <c r="H94" s="176"/>
      <c r="I94" s="177"/>
      <c r="J94" s="142"/>
      <c r="K94" s="158">
        <f t="shared" si="7"/>
        <v>0</v>
      </c>
      <c r="L94" s="142"/>
      <c r="M94" s="142"/>
      <c r="N94" s="158">
        <f t="shared" si="8"/>
        <v>0</v>
      </c>
      <c r="P94" s="201">
        <f t="shared" si="9"/>
        <v>34</v>
      </c>
      <c r="Q94" s="866" t="str">
        <f t="shared" si="10"/>
        <v/>
      </c>
      <c r="R94" s="866"/>
      <c r="S94" s="866"/>
      <c r="T94" s="866"/>
      <c r="U94" s="867"/>
      <c r="V94" s="202" t="str">
        <f t="shared" si="11"/>
        <v/>
      </c>
      <c r="W94" s="203">
        <f>IF(OR(V94="",V94=0),0,(Projeto!$AD$8*((1+Projeto!$AD$8)^V94))/(((1+Projeto!$AD$8)^V94)-1))</f>
        <v>0</v>
      </c>
      <c r="X94" s="204" t="e">
        <f>IF(AND(K94&gt;0,CustoContabil!#REF!&gt;0),K94*(CustoContabil!#REF!/CustoContabil!#REF!)*W94,0)</f>
        <v>#REF!</v>
      </c>
      <c r="Y94" s="204" t="e">
        <f>IF(AND(N94&gt;0,CustoContabil!#REF!&gt;0),N94*(CustoContabil!#REF!/CustoContabil!#REF!)*W94,0)</f>
        <v>#REF!</v>
      </c>
    </row>
    <row r="95" spans="2:25" ht="15" hidden="1" customHeight="1" x14ac:dyDescent="0.25">
      <c r="B95" s="201">
        <v>35</v>
      </c>
      <c r="C95" s="853"/>
      <c r="D95" s="854"/>
      <c r="E95" s="854"/>
      <c r="F95" s="854"/>
      <c r="G95" s="854"/>
      <c r="H95" s="176"/>
      <c r="I95" s="177"/>
      <c r="J95" s="142"/>
      <c r="K95" s="158">
        <f t="shared" si="7"/>
        <v>0</v>
      </c>
      <c r="L95" s="142"/>
      <c r="M95" s="142"/>
      <c r="N95" s="158">
        <f t="shared" si="8"/>
        <v>0</v>
      </c>
      <c r="P95" s="201">
        <f t="shared" si="9"/>
        <v>35</v>
      </c>
      <c r="Q95" s="866" t="str">
        <f t="shared" si="10"/>
        <v/>
      </c>
      <c r="R95" s="866"/>
      <c r="S95" s="866"/>
      <c r="T95" s="866"/>
      <c r="U95" s="867"/>
      <c r="V95" s="202" t="str">
        <f t="shared" si="11"/>
        <v/>
      </c>
      <c r="W95" s="203">
        <f>IF(OR(V95="",V95=0),0,(Projeto!$AD$8*((1+Projeto!$AD$8)^V95))/(((1+Projeto!$AD$8)^V95)-1))</f>
        <v>0</v>
      </c>
      <c r="X95" s="204" t="e">
        <f>IF(AND(K95&gt;0,CustoContabil!#REF!&gt;0),K95*(CustoContabil!#REF!/CustoContabil!#REF!)*W95,0)</f>
        <v>#REF!</v>
      </c>
      <c r="Y95" s="204" t="e">
        <f>IF(AND(N95&gt;0,CustoContabil!#REF!&gt;0),N95*(CustoContabil!#REF!/CustoContabil!#REF!)*W95,0)</f>
        <v>#REF!</v>
      </c>
    </row>
    <row r="96" spans="2:25" ht="15" hidden="1" customHeight="1" x14ac:dyDescent="0.25">
      <c r="B96" s="201">
        <v>36</v>
      </c>
      <c r="C96" s="853"/>
      <c r="D96" s="854"/>
      <c r="E96" s="854"/>
      <c r="F96" s="854"/>
      <c r="G96" s="854"/>
      <c r="H96" s="176"/>
      <c r="I96" s="177"/>
      <c r="J96" s="142"/>
      <c r="K96" s="158">
        <f t="shared" si="7"/>
        <v>0</v>
      </c>
      <c r="L96" s="142"/>
      <c r="M96" s="142"/>
      <c r="N96" s="158">
        <f t="shared" si="8"/>
        <v>0</v>
      </c>
      <c r="P96" s="201">
        <f t="shared" si="9"/>
        <v>36</v>
      </c>
      <c r="Q96" s="866" t="str">
        <f t="shared" si="10"/>
        <v/>
      </c>
      <c r="R96" s="866"/>
      <c r="S96" s="866"/>
      <c r="T96" s="866"/>
      <c r="U96" s="867"/>
      <c r="V96" s="202" t="str">
        <f t="shared" si="11"/>
        <v/>
      </c>
      <c r="W96" s="203">
        <f>IF(OR(V96="",V96=0),0,(Projeto!$AD$8*((1+Projeto!$AD$8)^V96))/(((1+Projeto!$AD$8)^V96)-1))</f>
        <v>0</v>
      </c>
      <c r="X96" s="204" t="e">
        <f>IF(AND(K96&gt;0,CustoContabil!#REF!&gt;0),K96*(CustoContabil!#REF!/CustoContabil!#REF!)*W96,0)</f>
        <v>#REF!</v>
      </c>
      <c r="Y96" s="204" t="e">
        <f>IF(AND(N96&gt;0,CustoContabil!#REF!&gt;0),N96*(CustoContabil!#REF!/CustoContabil!#REF!)*W96,0)</f>
        <v>#REF!</v>
      </c>
    </row>
    <row r="97" spans="2:25" ht="15" hidden="1" customHeight="1" x14ac:dyDescent="0.25">
      <c r="B97" s="201">
        <v>37</v>
      </c>
      <c r="C97" s="853"/>
      <c r="D97" s="854"/>
      <c r="E97" s="854"/>
      <c r="F97" s="854"/>
      <c r="G97" s="854"/>
      <c r="H97" s="176"/>
      <c r="I97" s="177"/>
      <c r="J97" s="142"/>
      <c r="K97" s="158">
        <f t="shared" si="7"/>
        <v>0</v>
      </c>
      <c r="L97" s="142"/>
      <c r="M97" s="142"/>
      <c r="N97" s="158">
        <f t="shared" si="8"/>
        <v>0</v>
      </c>
      <c r="P97" s="201">
        <f t="shared" si="9"/>
        <v>37</v>
      </c>
      <c r="Q97" s="866" t="str">
        <f t="shared" si="10"/>
        <v/>
      </c>
      <c r="R97" s="866"/>
      <c r="S97" s="866"/>
      <c r="T97" s="866"/>
      <c r="U97" s="867"/>
      <c r="V97" s="202" t="str">
        <f t="shared" si="11"/>
        <v/>
      </c>
      <c r="W97" s="203">
        <f>IF(OR(V97="",V97=0),0,(Projeto!$AD$8*((1+Projeto!$AD$8)^V97))/(((1+Projeto!$AD$8)^V97)-1))</f>
        <v>0</v>
      </c>
      <c r="X97" s="204" t="e">
        <f>IF(AND(K97&gt;0,CustoContabil!#REF!&gt;0),K97*(CustoContabil!#REF!/CustoContabil!#REF!)*W97,0)</f>
        <v>#REF!</v>
      </c>
      <c r="Y97" s="204" t="e">
        <f>IF(AND(N97&gt;0,CustoContabil!#REF!&gt;0),N97*(CustoContabil!#REF!/CustoContabil!#REF!)*W97,0)</f>
        <v>#REF!</v>
      </c>
    </row>
    <row r="98" spans="2:25" ht="15" hidden="1" customHeight="1" x14ac:dyDescent="0.25">
      <c r="B98" s="201">
        <v>38</v>
      </c>
      <c r="C98" s="853"/>
      <c r="D98" s="854"/>
      <c r="E98" s="854"/>
      <c r="F98" s="854"/>
      <c r="G98" s="854"/>
      <c r="H98" s="176"/>
      <c r="I98" s="177"/>
      <c r="J98" s="142"/>
      <c r="K98" s="158">
        <f t="shared" si="7"/>
        <v>0</v>
      </c>
      <c r="L98" s="142"/>
      <c r="M98" s="142"/>
      <c r="N98" s="158">
        <f t="shared" si="8"/>
        <v>0</v>
      </c>
      <c r="P98" s="201">
        <f t="shared" si="9"/>
        <v>38</v>
      </c>
      <c r="Q98" s="866" t="str">
        <f t="shared" si="10"/>
        <v/>
      </c>
      <c r="R98" s="866"/>
      <c r="S98" s="866"/>
      <c r="T98" s="866"/>
      <c r="U98" s="867"/>
      <c r="V98" s="202" t="str">
        <f t="shared" si="11"/>
        <v/>
      </c>
      <c r="W98" s="203">
        <f>IF(OR(V98="",V98=0),0,(Projeto!$AD$8*((1+Projeto!$AD$8)^V98))/(((1+Projeto!$AD$8)^V98)-1))</f>
        <v>0</v>
      </c>
      <c r="X98" s="204" t="e">
        <f>IF(AND(K98&gt;0,CustoContabil!#REF!&gt;0),K98*(CustoContabil!#REF!/CustoContabil!#REF!)*W98,0)</f>
        <v>#REF!</v>
      </c>
      <c r="Y98" s="204" t="e">
        <f>IF(AND(N98&gt;0,CustoContabil!#REF!&gt;0),N98*(CustoContabil!#REF!/CustoContabil!#REF!)*W98,0)</f>
        <v>#REF!</v>
      </c>
    </row>
    <row r="99" spans="2:25" ht="15" hidden="1" customHeight="1" x14ac:dyDescent="0.25">
      <c r="B99" s="201">
        <v>39</v>
      </c>
      <c r="C99" s="853"/>
      <c r="D99" s="854"/>
      <c r="E99" s="854"/>
      <c r="F99" s="854"/>
      <c r="G99" s="854"/>
      <c r="H99" s="176"/>
      <c r="I99" s="177"/>
      <c r="J99" s="142"/>
      <c r="K99" s="158">
        <f t="shared" si="7"/>
        <v>0</v>
      </c>
      <c r="L99" s="142"/>
      <c r="M99" s="142"/>
      <c r="N99" s="158">
        <f t="shared" si="8"/>
        <v>0</v>
      </c>
      <c r="P99" s="201">
        <f t="shared" si="9"/>
        <v>39</v>
      </c>
      <c r="Q99" s="866" t="str">
        <f t="shared" si="10"/>
        <v/>
      </c>
      <c r="R99" s="866"/>
      <c r="S99" s="866"/>
      <c r="T99" s="866"/>
      <c r="U99" s="867"/>
      <c r="V99" s="202" t="str">
        <f t="shared" si="11"/>
        <v/>
      </c>
      <c r="W99" s="203">
        <f>IF(OR(V99="",V99=0),0,(Projeto!$AD$8*((1+Projeto!$AD$8)^V99))/(((1+Projeto!$AD$8)^V99)-1))</f>
        <v>0</v>
      </c>
      <c r="X99" s="204" t="e">
        <f>IF(AND(K99&gt;0,CustoContabil!#REF!&gt;0),K99*(CustoContabil!#REF!/CustoContabil!#REF!)*W99,0)</f>
        <v>#REF!</v>
      </c>
      <c r="Y99" s="204" t="e">
        <f>IF(AND(N99&gt;0,CustoContabil!#REF!&gt;0),N99*(CustoContabil!#REF!/CustoContabil!#REF!)*W99,0)</f>
        <v>#REF!</v>
      </c>
    </row>
    <row r="100" spans="2:25" ht="15" hidden="1" customHeight="1" x14ac:dyDescent="0.25">
      <c r="B100" s="201">
        <v>40</v>
      </c>
      <c r="C100" s="853"/>
      <c r="D100" s="854"/>
      <c r="E100" s="854"/>
      <c r="F100" s="854"/>
      <c r="G100" s="854"/>
      <c r="H100" s="176"/>
      <c r="I100" s="177"/>
      <c r="J100" s="142"/>
      <c r="K100" s="158">
        <f t="shared" si="7"/>
        <v>0</v>
      </c>
      <c r="L100" s="142"/>
      <c r="M100" s="142"/>
      <c r="N100" s="158">
        <f t="shared" si="8"/>
        <v>0</v>
      </c>
      <c r="P100" s="201">
        <f t="shared" si="9"/>
        <v>40</v>
      </c>
      <c r="Q100" s="866" t="str">
        <f t="shared" si="10"/>
        <v/>
      </c>
      <c r="R100" s="866"/>
      <c r="S100" s="866"/>
      <c r="T100" s="866"/>
      <c r="U100" s="867"/>
      <c r="V100" s="202" t="str">
        <f t="shared" si="11"/>
        <v/>
      </c>
      <c r="W100" s="203">
        <f>IF(OR(V100="",V100=0),0,(Projeto!$AD$8*((1+Projeto!$AD$8)^V100))/(((1+Projeto!$AD$8)^V100)-1))</f>
        <v>0</v>
      </c>
      <c r="X100" s="204" t="e">
        <f>IF(AND(K100&gt;0,CustoContabil!#REF!&gt;0),K100*(CustoContabil!#REF!/CustoContabil!#REF!)*W100,0)</f>
        <v>#REF!</v>
      </c>
      <c r="Y100" s="204" t="e">
        <f>IF(AND(N100&gt;0,CustoContabil!#REF!&gt;0),N100*(CustoContabil!#REF!/CustoContabil!#REF!)*W100,0)</f>
        <v>#REF!</v>
      </c>
    </row>
    <row r="101" spans="2:25" ht="15" hidden="1" customHeight="1" x14ac:dyDescent="0.25">
      <c r="B101" s="201">
        <v>41</v>
      </c>
      <c r="C101" s="853"/>
      <c r="D101" s="854"/>
      <c r="E101" s="854"/>
      <c r="F101" s="854"/>
      <c r="G101" s="854"/>
      <c r="H101" s="176"/>
      <c r="I101" s="177"/>
      <c r="J101" s="142"/>
      <c r="K101" s="158">
        <f t="shared" si="7"/>
        <v>0</v>
      </c>
      <c r="L101" s="142"/>
      <c r="M101" s="142"/>
      <c r="N101" s="158">
        <f t="shared" si="8"/>
        <v>0</v>
      </c>
      <c r="P101" s="201">
        <f t="shared" si="9"/>
        <v>41</v>
      </c>
      <c r="Q101" s="866" t="str">
        <f t="shared" si="10"/>
        <v/>
      </c>
      <c r="R101" s="866"/>
      <c r="S101" s="866"/>
      <c r="T101" s="866"/>
      <c r="U101" s="867"/>
      <c r="V101" s="202" t="str">
        <f t="shared" si="11"/>
        <v/>
      </c>
      <c r="W101" s="203">
        <f>IF(OR(V101="",V101=0),0,(Projeto!$AD$8*((1+Projeto!$AD$8)^V101))/(((1+Projeto!$AD$8)^V101)-1))</f>
        <v>0</v>
      </c>
      <c r="X101" s="204" t="e">
        <f>IF(AND(K101&gt;0,CustoContabil!#REF!&gt;0),K101*(CustoContabil!#REF!/CustoContabil!#REF!)*W101,0)</f>
        <v>#REF!</v>
      </c>
      <c r="Y101" s="204" t="e">
        <f>IF(AND(N101&gt;0,CustoContabil!#REF!&gt;0),N101*(CustoContabil!#REF!/CustoContabil!#REF!)*W101,0)</f>
        <v>#REF!</v>
      </c>
    </row>
    <row r="102" spans="2:25" ht="15" hidden="1" customHeight="1" x14ac:dyDescent="0.25">
      <c r="B102" s="201">
        <v>42</v>
      </c>
      <c r="C102" s="853"/>
      <c r="D102" s="854"/>
      <c r="E102" s="854"/>
      <c r="F102" s="854"/>
      <c r="G102" s="854"/>
      <c r="H102" s="176"/>
      <c r="I102" s="177"/>
      <c r="J102" s="142"/>
      <c r="K102" s="158">
        <f t="shared" si="7"/>
        <v>0</v>
      </c>
      <c r="L102" s="142"/>
      <c r="M102" s="142"/>
      <c r="N102" s="158">
        <f t="shared" si="8"/>
        <v>0</v>
      </c>
      <c r="P102" s="201">
        <f t="shared" si="9"/>
        <v>42</v>
      </c>
      <c r="Q102" s="866" t="str">
        <f t="shared" si="10"/>
        <v/>
      </c>
      <c r="R102" s="866"/>
      <c r="S102" s="866"/>
      <c r="T102" s="866"/>
      <c r="U102" s="867"/>
      <c r="V102" s="202" t="str">
        <f t="shared" si="11"/>
        <v/>
      </c>
      <c r="W102" s="203">
        <f>IF(OR(V102="",V102=0),0,(Projeto!$AD$8*((1+Projeto!$AD$8)^V102))/(((1+Projeto!$AD$8)^V102)-1))</f>
        <v>0</v>
      </c>
      <c r="X102" s="204" t="e">
        <f>IF(AND(K102&gt;0,CustoContabil!#REF!&gt;0),K102*(CustoContabil!#REF!/CustoContabil!#REF!)*W102,0)</f>
        <v>#REF!</v>
      </c>
      <c r="Y102" s="204" t="e">
        <f>IF(AND(N102&gt;0,CustoContabil!#REF!&gt;0),N102*(CustoContabil!#REF!/CustoContabil!#REF!)*W102,0)</f>
        <v>#REF!</v>
      </c>
    </row>
    <row r="103" spans="2:25" ht="15" hidden="1" customHeight="1" x14ac:dyDescent="0.25">
      <c r="B103" s="201">
        <v>43</v>
      </c>
      <c r="C103" s="853"/>
      <c r="D103" s="854"/>
      <c r="E103" s="854"/>
      <c r="F103" s="854"/>
      <c r="G103" s="854"/>
      <c r="H103" s="176"/>
      <c r="I103" s="177"/>
      <c r="J103" s="142"/>
      <c r="K103" s="158">
        <f t="shared" si="7"/>
        <v>0</v>
      </c>
      <c r="L103" s="142"/>
      <c r="M103" s="142"/>
      <c r="N103" s="158">
        <f t="shared" si="8"/>
        <v>0</v>
      </c>
      <c r="P103" s="201">
        <f t="shared" si="9"/>
        <v>43</v>
      </c>
      <c r="Q103" s="866" t="str">
        <f t="shared" si="10"/>
        <v/>
      </c>
      <c r="R103" s="866"/>
      <c r="S103" s="866"/>
      <c r="T103" s="866"/>
      <c r="U103" s="867"/>
      <c r="V103" s="202" t="str">
        <f t="shared" si="11"/>
        <v/>
      </c>
      <c r="W103" s="203">
        <f>IF(OR(V103="",V103=0),0,(Projeto!$AD$8*((1+Projeto!$AD$8)^V103))/(((1+Projeto!$AD$8)^V103)-1))</f>
        <v>0</v>
      </c>
      <c r="X103" s="204" t="e">
        <f>IF(AND(K103&gt;0,CustoContabil!#REF!&gt;0),K103*(CustoContabil!#REF!/CustoContabil!#REF!)*W103,0)</f>
        <v>#REF!</v>
      </c>
      <c r="Y103" s="204" t="e">
        <f>IF(AND(N103&gt;0,CustoContabil!#REF!&gt;0),N103*(CustoContabil!#REF!/CustoContabil!#REF!)*W103,0)</f>
        <v>#REF!</v>
      </c>
    </row>
    <row r="104" spans="2:25" ht="15" hidden="1" customHeight="1" x14ac:dyDescent="0.25">
      <c r="B104" s="201">
        <v>44</v>
      </c>
      <c r="C104" s="853"/>
      <c r="D104" s="854"/>
      <c r="E104" s="854"/>
      <c r="F104" s="854"/>
      <c r="G104" s="854"/>
      <c r="H104" s="176"/>
      <c r="I104" s="177"/>
      <c r="J104" s="142"/>
      <c r="K104" s="158">
        <f t="shared" si="7"/>
        <v>0</v>
      </c>
      <c r="L104" s="142"/>
      <c r="M104" s="142"/>
      <c r="N104" s="158">
        <f t="shared" si="8"/>
        <v>0</v>
      </c>
      <c r="P104" s="201">
        <f t="shared" si="9"/>
        <v>44</v>
      </c>
      <c r="Q104" s="866" t="str">
        <f t="shared" si="10"/>
        <v/>
      </c>
      <c r="R104" s="866"/>
      <c r="S104" s="866"/>
      <c r="T104" s="866"/>
      <c r="U104" s="867"/>
      <c r="V104" s="202" t="str">
        <f t="shared" si="11"/>
        <v/>
      </c>
      <c r="W104" s="203">
        <f>IF(OR(V104="",V104=0),0,(Projeto!$AD$8*((1+Projeto!$AD$8)^V104))/(((1+Projeto!$AD$8)^V104)-1))</f>
        <v>0</v>
      </c>
      <c r="X104" s="204" t="e">
        <f>IF(AND(K104&gt;0,CustoContabil!#REF!&gt;0),K104*(CustoContabil!#REF!/CustoContabil!#REF!)*W104,0)</f>
        <v>#REF!</v>
      </c>
      <c r="Y104" s="204" t="e">
        <f>IF(AND(N104&gt;0,CustoContabil!#REF!&gt;0),N104*(CustoContabil!#REF!/CustoContabil!#REF!)*W104,0)</f>
        <v>#REF!</v>
      </c>
    </row>
    <row r="105" spans="2:25" ht="15" hidden="1" customHeight="1" x14ac:dyDescent="0.25">
      <c r="B105" s="201">
        <v>45</v>
      </c>
      <c r="C105" s="853"/>
      <c r="D105" s="854"/>
      <c r="E105" s="854"/>
      <c r="F105" s="854"/>
      <c r="G105" s="854"/>
      <c r="H105" s="176"/>
      <c r="I105" s="177"/>
      <c r="J105" s="142"/>
      <c r="K105" s="158">
        <f t="shared" si="7"/>
        <v>0</v>
      </c>
      <c r="L105" s="142"/>
      <c r="M105" s="142"/>
      <c r="N105" s="158">
        <f t="shared" si="8"/>
        <v>0</v>
      </c>
      <c r="P105" s="201">
        <f t="shared" si="9"/>
        <v>45</v>
      </c>
      <c r="Q105" s="866" t="str">
        <f t="shared" si="10"/>
        <v/>
      </c>
      <c r="R105" s="866"/>
      <c r="S105" s="866"/>
      <c r="T105" s="866"/>
      <c r="U105" s="867"/>
      <c r="V105" s="202" t="str">
        <f t="shared" si="11"/>
        <v/>
      </c>
      <c r="W105" s="203">
        <f>IF(OR(V105="",V105=0),0,(Projeto!$AD$8*((1+Projeto!$AD$8)^V105))/(((1+Projeto!$AD$8)^V105)-1))</f>
        <v>0</v>
      </c>
      <c r="X105" s="204" t="e">
        <f>IF(AND(K105&gt;0,CustoContabil!#REF!&gt;0),K105*(CustoContabil!#REF!/CustoContabil!#REF!)*W105,0)</f>
        <v>#REF!</v>
      </c>
      <c r="Y105" s="204" t="e">
        <f>IF(AND(N105&gt;0,CustoContabil!#REF!&gt;0),N105*(CustoContabil!#REF!/CustoContabil!#REF!)*W105,0)</f>
        <v>#REF!</v>
      </c>
    </row>
    <row r="106" spans="2:25" ht="15" hidden="1" customHeight="1" x14ac:dyDescent="0.25">
      <c r="B106" s="201">
        <v>46</v>
      </c>
      <c r="C106" s="853"/>
      <c r="D106" s="854"/>
      <c r="E106" s="854"/>
      <c r="F106" s="854"/>
      <c r="G106" s="854"/>
      <c r="H106" s="176"/>
      <c r="I106" s="177"/>
      <c r="J106" s="142"/>
      <c r="K106" s="158">
        <f t="shared" si="7"/>
        <v>0</v>
      </c>
      <c r="L106" s="142"/>
      <c r="M106" s="142"/>
      <c r="N106" s="158">
        <f t="shared" si="8"/>
        <v>0</v>
      </c>
      <c r="P106" s="201">
        <f t="shared" si="9"/>
        <v>46</v>
      </c>
      <c r="Q106" s="866" t="str">
        <f t="shared" si="10"/>
        <v/>
      </c>
      <c r="R106" s="866"/>
      <c r="S106" s="866"/>
      <c r="T106" s="866"/>
      <c r="U106" s="867"/>
      <c r="V106" s="202" t="str">
        <f t="shared" si="11"/>
        <v/>
      </c>
      <c r="W106" s="203">
        <f>IF(OR(V106="",V106=0),0,(Projeto!$AD$8*((1+Projeto!$AD$8)^V106))/(((1+Projeto!$AD$8)^V106)-1))</f>
        <v>0</v>
      </c>
      <c r="X106" s="204" t="e">
        <f>IF(AND(K106&gt;0,CustoContabil!#REF!&gt;0),K106*(CustoContabil!#REF!/CustoContabil!#REF!)*W106,0)</f>
        <v>#REF!</v>
      </c>
      <c r="Y106" s="204" t="e">
        <f>IF(AND(N106&gt;0,CustoContabil!#REF!&gt;0),N106*(CustoContabil!#REF!/CustoContabil!#REF!)*W106,0)</f>
        <v>#REF!</v>
      </c>
    </row>
    <row r="107" spans="2:25" ht="15" hidden="1" customHeight="1" x14ac:dyDescent="0.25">
      <c r="B107" s="201">
        <v>47</v>
      </c>
      <c r="C107" s="853"/>
      <c r="D107" s="854"/>
      <c r="E107" s="854"/>
      <c r="F107" s="854"/>
      <c r="G107" s="854"/>
      <c r="H107" s="176"/>
      <c r="I107" s="177"/>
      <c r="J107" s="142"/>
      <c r="K107" s="158">
        <f t="shared" si="7"/>
        <v>0</v>
      </c>
      <c r="L107" s="142"/>
      <c r="M107" s="142"/>
      <c r="N107" s="158">
        <f t="shared" si="8"/>
        <v>0</v>
      </c>
      <c r="P107" s="201">
        <f t="shared" si="9"/>
        <v>47</v>
      </c>
      <c r="Q107" s="866" t="str">
        <f t="shared" si="10"/>
        <v/>
      </c>
      <c r="R107" s="866"/>
      <c r="S107" s="866"/>
      <c r="T107" s="866"/>
      <c r="U107" s="867"/>
      <c r="V107" s="202" t="str">
        <f t="shared" si="11"/>
        <v/>
      </c>
      <c r="W107" s="203">
        <f>IF(OR(V107="",V107=0),0,(Projeto!$AD$8*((1+Projeto!$AD$8)^V107))/(((1+Projeto!$AD$8)^V107)-1))</f>
        <v>0</v>
      </c>
      <c r="X107" s="204" t="e">
        <f>IF(AND(K107&gt;0,CustoContabil!#REF!&gt;0),K107*(CustoContabil!#REF!/CustoContabil!#REF!)*W107,0)</f>
        <v>#REF!</v>
      </c>
      <c r="Y107" s="204" t="e">
        <f>IF(AND(N107&gt;0,CustoContabil!#REF!&gt;0),N107*(CustoContabil!#REF!/CustoContabil!#REF!)*W107,0)</f>
        <v>#REF!</v>
      </c>
    </row>
    <row r="108" spans="2:25" ht="15" hidden="1" customHeight="1" x14ac:dyDescent="0.25">
      <c r="B108" s="201">
        <v>48</v>
      </c>
      <c r="C108" s="853"/>
      <c r="D108" s="854"/>
      <c r="E108" s="854"/>
      <c r="F108" s="854"/>
      <c r="G108" s="854"/>
      <c r="H108" s="176"/>
      <c r="I108" s="177"/>
      <c r="J108" s="142"/>
      <c r="K108" s="158">
        <f t="shared" si="7"/>
        <v>0</v>
      </c>
      <c r="L108" s="142"/>
      <c r="M108" s="142"/>
      <c r="N108" s="158">
        <f t="shared" si="8"/>
        <v>0</v>
      </c>
      <c r="P108" s="201">
        <f t="shared" si="9"/>
        <v>48</v>
      </c>
      <c r="Q108" s="866" t="str">
        <f t="shared" si="10"/>
        <v/>
      </c>
      <c r="R108" s="866"/>
      <c r="S108" s="866"/>
      <c r="T108" s="866"/>
      <c r="U108" s="867"/>
      <c r="V108" s="202" t="str">
        <f t="shared" si="11"/>
        <v/>
      </c>
      <c r="W108" s="203">
        <f>IF(OR(V108="",V108=0),0,(Projeto!$AD$8*((1+Projeto!$AD$8)^V108))/(((1+Projeto!$AD$8)^V108)-1))</f>
        <v>0</v>
      </c>
      <c r="X108" s="204" t="e">
        <f>IF(AND(K108&gt;0,CustoContabil!#REF!&gt;0),K108*(CustoContabil!#REF!/CustoContabil!#REF!)*W108,0)</f>
        <v>#REF!</v>
      </c>
      <c r="Y108" s="204" t="e">
        <f>IF(AND(N108&gt;0,CustoContabil!#REF!&gt;0),N108*(CustoContabil!#REF!/CustoContabil!#REF!)*W108,0)</f>
        <v>#REF!</v>
      </c>
    </row>
    <row r="109" spans="2:25" ht="15" hidden="1" customHeight="1" x14ac:dyDescent="0.25">
      <c r="B109" s="201">
        <v>49</v>
      </c>
      <c r="C109" s="853"/>
      <c r="D109" s="854"/>
      <c r="E109" s="854"/>
      <c r="F109" s="854"/>
      <c r="G109" s="854"/>
      <c r="H109" s="176"/>
      <c r="I109" s="177"/>
      <c r="J109" s="142"/>
      <c r="K109" s="158">
        <f t="shared" si="7"/>
        <v>0</v>
      </c>
      <c r="L109" s="142"/>
      <c r="M109" s="142"/>
      <c r="N109" s="158">
        <f t="shared" si="8"/>
        <v>0</v>
      </c>
      <c r="P109" s="201">
        <f t="shared" si="9"/>
        <v>49</v>
      </c>
      <c r="Q109" s="866" t="str">
        <f t="shared" si="10"/>
        <v/>
      </c>
      <c r="R109" s="866"/>
      <c r="S109" s="866"/>
      <c r="T109" s="866"/>
      <c r="U109" s="867"/>
      <c r="V109" s="202" t="str">
        <f t="shared" si="11"/>
        <v/>
      </c>
      <c r="W109" s="203">
        <f>IF(OR(V109="",V109=0),0,(Projeto!$AD$8*((1+Projeto!$AD$8)^V109))/(((1+Projeto!$AD$8)^V109)-1))</f>
        <v>0</v>
      </c>
      <c r="X109" s="204" t="e">
        <f>IF(AND(K109&gt;0,CustoContabil!#REF!&gt;0),K109*(CustoContabil!#REF!/CustoContabil!#REF!)*W109,0)</f>
        <v>#REF!</v>
      </c>
      <c r="Y109" s="204" t="e">
        <f>IF(AND(N109&gt;0,CustoContabil!#REF!&gt;0),N109*(CustoContabil!#REF!/CustoContabil!#REF!)*W109,0)</f>
        <v>#REF!</v>
      </c>
    </row>
    <row r="110" spans="2:25" ht="15" hidden="1" customHeight="1" x14ac:dyDescent="0.25">
      <c r="B110" s="201">
        <v>50</v>
      </c>
      <c r="C110" s="853"/>
      <c r="D110" s="854"/>
      <c r="E110" s="854"/>
      <c r="F110" s="854"/>
      <c r="G110" s="854"/>
      <c r="H110" s="176"/>
      <c r="I110" s="177"/>
      <c r="J110" s="142"/>
      <c r="K110" s="158">
        <f t="shared" si="7"/>
        <v>0</v>
      </c>
      <c r="L110" s="142"/>
      <c r="M110" s="142"/>
      <c r="N110" s="158">
        <f t="shared" si="8"/>
        <v>0</v>
      </c>
      <c r="P110" s="201">
        <f t="shared" si="9"/>
        <v>50</v>
      </c>
      <c r="Q110" s="866" t="str">
        <f t="shared" si="10"/>
        <v/>
      </c>
      <c r="R110" s="866"/>
      <c r="S110" s="866"/>
      <c r="T110" s="866"/>
      <c r="U110" s="867"/>
      <c r="V110" s="202" t="str">
        <f t="shared" si="11"/>
        <v/>
      </c>
      <c r="W110" s="203">
        <f>IF(OR(V110="",V110=0),0,(Projeto!$AD$8*((1+Projeto!$AD$8)^V110))/(((1+Projeto!$AD$8)^V110)-1))</f>
        <v>0</v>
      </c>
      <c r="X110" s="204" t="e">
        <f>IF(AND(K110&gt;0,CustoContabil!#REF!&gt;0),K110*(CustoContabil!#REF!/CustoContabil!#REF!)*W110,0)</f>
        <v>#REF!</v>
      </c>
      <c r="Y110" s="204" t="e">
        <f>IF(AND(N110&gt;0,CustoContabil!#REF!&gt;0),N110*(CustoContabil!#REF!/CustoContabil!#REF!)*W110,0)</f>
        <v>#REF!</v>
      </c>
    </row>
    <row r="111" spans="2:25" ht="15" hidden="1" customHeight="1" x14ac:dyDescent="0.25">
      <c r="B111" s="201"/>
      <c r="C111" s="868" t="s">
        <v>4066</v>
      </c>
      <c r="D111" s="869"/>
      <c r="E111" s="869"/>
      <c r="F111" s="869"/>
      <c r="G111" s="869"/>
      <c r="H111" s="205">
        <v>20</v>
      </c>
      <c r="I111" s="177"/>
      <c r="J111" s="142"/>
      <c r="K111" s="158">
        <f t="shared" si="7"/>
        <v>0</v>
      </c>
      <c r="L111" s="142"/>
      <c r="M111" s="142"/>
      <c r="N111" s="158">
        <f t="shared" si="8"/>
        <v>0</v>
      </c>
      <c r="P111" s="201"/>
      <c r="Q111" s="866" t="str">
        <f t="shared" si="10"/>
        <v>Acessórios</v>
      </c>
      <c r="R111" s="866"/>
      <c r="S111" s="866"/>
      <c r="T111" s="866"/>
      <c r="U111" s="867"/>
      <c r="V111" s="202" t="str">
        <f t="shared" si="11"/>
        <v/>
      </c>
      <c r="W111" s="203">
        <f>IF(OR(V111="",V111=0),0,(Projeto!$AD$8*((1+Projeto!$AD$8)^V111))/(((1+Projeto!$AD$8)^V111)-1))</f>
        <v>0</v>
      </c>
      <c r="X111" s="204" t="e">
        <f>IF(AND(K111&gt;0,CustoContabil!#REF!&gt;0),K111*(CustoContabil!#REF!/CustoContabil!#REF!)*W111,0)</f>
        <v>#REF!</v>
      </c>
      <c r="Y111" s="204" t="e">
        <f>IF(AND(N111&gt;0,CustoContabil!#REF!&gt;0),N111*(CustoContabil!#REF!/CustoContabil!#REF!)*W111,0)</f>
        <v>#REF!</v>
      </c>
    </row>
    <row r="112" spans="2:25" ht="15" hidden="1" customHeight="1" x14ac:dyDescent="0.25">
      <c r="B112" s="206"/>
      <c r="C112" s="838" t="s">
        <v>4067</v>
      </c>
      <c r="D112" s="838"/>
      <c r="E112" s="838"/>
      <c r="F112" s="838"/>
      <c r="G112" s="838"/>
      <c r="H112" s="838"/>
      <c r="I112" s="838"/>
      <c r="J112" s="839"/>
      <c r="K112" s="207">
        <f>SUM(K61:K111)</f>
        <v>0</v>
      </c>
      <c r="L112" s="207">
        <f>SUM(L61:L111)</f>
        <v>0</v>
      </c>
      <c r="M112" s="207">
        <f>SUM(M61:M111)</f>
        <v>0</v>
      </c>
      <c r="N112" s="207">
        <f>SUM(N61:N111)</f>
        <v>0</v>
      </c>
      <c r="P112" s="871" t="s">
        <v>4088</v>
      </c>
      <c r="Q112" s="872"/>
      <c r="R112" s="872"/>
      <c r="S112" s="872"/>
      <c r="T112" s="872"/>
      <c r="U112" s="872"/>
      <c r="V112" s="873"/>
      <c r="W112" s="208" t="s">
        <v>4069</v>
      </c>
      <c r="X112" s="209" t="e">
        <f>SUM(X61:X111)</f>
        <v>#REF!</v>
      </c>
      <c r="Y112" s="209" t="e">
        <f>SUM(Y61:Y111)</f>
        <v>#REF!</v>
      </c>
    </row>
    <row r="113" spans="2:23" ht="15" hidden="1" customHeight="1" x14ac:dyDescent="0.25">
      <c r="B113" s="861" t="s">
        <v>4070</v>
      </c>
      <c r="C113" s="862"/>
      <c r="D113" s="862"/>
      <c r="E113" s="862"/>
      <c r="F113" s="862"/>
      <c r="G113" s="862"/>
      <c r="H113" s="862"/>
      <c r="I113" s="862"/>
      <c r="J113" s="862"/>
      <c r="K113" s="857" t="s">
        <v>3909</v>
      </c>
      <c r="L113" s="857"/>
      <c r="M113" s="857"/>
      <c r="N113" s="857"/>
      <c r="P113" s="184"/>
      <c r="Q113" s="184"/>
      <c r="R113" s="185"/>
      <c r="S113" s="186"/>
      <c r="T113" s="186"/>
      <c r="U113" s="186"/>
      <c r="V113" s="187"/>
      <c r="W113" s="188"/>
    </row>
    <row r="114" spans="2:23" ht="15" hidden="1" customHeight="1" x14ac:dyDescent="0.35">
      <c r="B114" s="210"/>
      <c r="C114" s="836" t="s">
        <v>12</v>
      </c>
      <c r="D114" s="836"/>
      <c r="E114" s="836"/>
      <c r="F114" s="836"/>
      <c r="G114" s="836"/>
      <c r="H114" s="836"/>
      <c r="I114" s="836"/>
      <c r="J114" s="837"/>
      <c r="K114" s="158">
        <v>0</v>
      </c>
      <c r="L114" s="211"/>
      <c r="M114" s="212"/>
      <c r="N114" s="158">
        <f>K114</f>
        <v>0</v>
      </c>
      <c r="P114" s="213" t="s">
        <v>4071</v>
      </c>
      <c r="Q114" s="214"/>
      <c r="R114" s="215">
        <f>RCB!$G$30</f>
        <v>0</v>
      </c>
      <c r="T114" s="213" t="s">
        <v>4072</v>
      </c>
      <c r="U114" s="214"/>
      <c r="V114" s="215">
        <f>RCB!$J$30</f>
        <v>0</v>
      </c>
    </row>
    <row r="115" spans="2:23" ht="15" hidden="1" customHeight="1" x14ac:dyDescent="0.35">
      <c r="B115" s="863" t="s">
        <v>3920</v>
      </c>
      <c r="C115" s="893"/>
      <c r="D115" s="893"/>
      <c r="E115" s="893"/>
      <c r="F115" s="893"/>
      <c r="G115" s="894"/>
      <c r="H115" s="152" t="s">
        <v>3980</v>
      </c>
      <c r="I115" s="543" t="s">
        <v>697</v>
      </c>
      <c r="J115" s="543" t="s">
        <v>4073</v>
      </c>
      <c r="K115" s="200" t="s">
        <v>3982</v>
      </c>
      <c r="L115" s="152" t="s">
        <v>4086</v>
      </c>
      <c r="M115" s="152" t="s">
        <v>4087</v>
      </c>
      <c r="N115" s="153" t="s">
        <v>4062</v>
      </c>
      <c r="P115" s="213" t="s">
        <v>4074</v>
      </c>
      <c r="Q115" s="214"/>
      <c r="R115" s="215">
        <f>RCB!$H$30</f>
        <v>0</v>
      </c>
      <c r="T115" s="213" t="s">
        <v>4075</v>
      </c>
      <c r="U115" s="214"/>
      <c r="V115" s="215">
        <f>RCB!$K$30</f>
        <v>0</v>
      </c>
    </row>
    <row r="116" spans="2:23" ht="15" hidden="1" customHeight="1" x14ac:dyDescent="0.25">
      <c r="B116" s="201">
        <v>1</v>
      </c>
      <c r="C116" s="870"/>
      <c r="D116" s="870"/>
      <c r="E116" s="870"/>
      <c r="F116" s="870"/>
      <c r="G116" s="853"/>
      <c r="H116" s="192"/>
      <c r="I116" s="170"/>
      <c r="J116" s="142"/>
      <c r="K116" s="158">
        <f>N116-L116-M116</f>
        <v>0</v>
      </c>
      <c r="L116" s="142"/>
      <c r="M116" s="142"/>
      <c r="N116" s="158">
        <f>H116*I116*J116</f>
        <v>0</v>
      </c>
    </row>
    <row r="117" spans="2:23" ht="15" hidden="1" customHeight="1" x14ac:dyDescent="0.25">
      <c r="B117" s="553">
        <v>2</v>
      </c>
      <c r="C117" s="870"/>
      <c r="D117" s="870"/>
      <c r="E117" s="870"/>
      <c r="F117" s="870"/>
      <c r="G117" s="853"/>
      <c r="H117" s="193"/>
      <c r="I117" s="177"/>
      <c r="J117" s="142"/>
      <c r="K117" s="158">
        <f>N117-L117-M117</f>
        <v>0</v>
      </c>
      <c r="L117" s="142"/>
      <c r="M117" s="142"/>
      <c r="N117" s="158">
        <f>H117*I117*J117</f>
        <v>0</v>
      </c>
    </row>
    <row r="118" spans="2:23" ht="15" hidden="1" customHeight="1" x14ac:dyDescent="0.25">
      <c r="B118" s="201">
        <v>3</v>
      </c>
      <c r="C118" s="870"/>
      <c r="D118" s="870"/>
      <c r="E118" s="870"/>
      <c r="F118" s="870"/>
      <c r="G118" s="853"/>
      <c r="H118" s="193"/>
      <c r="I118" s="177"/>
      <c r="J118" s="142"/>
      <c r="K118" s="158">
        <f>N118-L118-M118</f>
        <v>0</v>
      </c>
      <c r="L118" s="142"/>
      <c r="M118" s="142"/>
      <c r="N118" s="158">
        <f>H118*I118*J118</f>
        <v>0</v>
      </c>
    </row>
    <row r="119" spans="2:23" ht="15" hidden="1" customHeight="1" x14ac:dyDescent="0.25">
      <c r="B119" s="553">
        <v>4</v>
      </c>
      <c r="C119" s="870"/>
      <c r="D119" s="870"/>
      <c r="E119" s="870"/>
      <c r="F119" s="870"/>
      <c r="G119" s="853"/>
      <c r="H119" s="193"/>
      <c r="I119" s="177"/>
      <c r="J119" s="142"/>
      <c r="K119" s="158">
        <f>N119-L119-M119</f>
        <v>0</v>
      </c>
      <c r="L119" s="142"/>
      <c r="M119" s="142"/>
      <c r="N119" s="158">
        <f>H119*I119*J119</f>
        <v>0</v>
      </c>
    </row>
    <row r="120" spans="2:23" ht="15" hidden="1" customHeight="1" x14ac:dyDescent="0.25">
      <c r="B120" s="201">
        <v>5</v>
      </c>
      <c r="C120" s="870"/>
      <c r="D120" s="870"/>
      <c r="E120" s="870"/>
      <c r="F120" s="870"/>
      <c r="G120" s="853"/>
      <c r="H120" s="193"/>
      <c r="I120" s="177"/>
      <c r="J120" s="142"/>
      <c r="K120" s="158">
        <f>N120-L120-M120</f>
        <v>0</v>
      </c>
      <c r="L120" s="142"/>
      <c r="M120" s="142"/>
      <c r="N120" s="158">
        <f>H120*I120*J120</f>
        <v>0</v>
      </c>
    </row>
    <row r="121" spans="2:23" ht="15" hidden="1" customHeight="1" x14ac:dyDescent="0.25">
      <c r="B121" s="210"/>
      <c r="C121" s="874" t="s">
        <v>4079</v>
      </c>
      <c r="D121" s="874"/>
      <c r="E121" s="874"/>
      <c r="F121" s="874"/>
      <c r="G121" s="874"/>
      <c r="H121" s="874"/>
      <c r="I121" s="874"/>
      <c r="J121" s="875"/>
      <c r="K121" s="158">
        <f>SUM(K116:K120)</f>
        <v>0</v>
      </c>
      <c r="L121" s="158">
        <f>SUM(L116:L120)</f>
        <v>0</v>
      </c>
      <c r="M121" s="158">
        <f>SUM(M116:M120)</f>
        <v>0</v>
      </c>
      <c r="N121" s="158">
        <f>SUM(N116:N120)</f>
        <v>0</v>
      </c>
    </row>
    <row r="122" spans="2:23" ht="15" hidden="1" customHeight="1" x14ac:dyDescent="0.25">
      <c r="B122" s="206"/>
      <c r="C122" s="838" t="s">
        <v>4089</v>
      </c>
      <c r="D122" s="838"/>
      <c r="E122" s="838"/>
      <c r="F122" s="838"/>
      <c r="G122" s="838"/>
      <c r="H122" s="838"/>
      <c r="I122" s="838"/>
      <c r="J122" s="839"/>
      <c r="K122" s="207">
        <f>SUM(K114,K121)</f>
        <v>0</v>
      </c>
      <c r="L122" s="207">
        <f>SUM(L114,L121)</f>
        <v>0</v>
      </c>
      <c r="M122" s="207">
        <f>SUM(M114,M121)</f>
        <v>0</v>
      </c>
      <c r="N122" s="207">
        <f>SUM(N114,N121)</f>
        <v>0</v>
      </c>
    </row>
    <row r="123" spans="2:23" ht="15" hidden="1" customHeight="1" x14ac:dyDescent="0.25">
      <c r="B123" s="861" t="s">
        <v>4090</v>
      </c>
      <c r="C123" s="862"/>
      <c r="D123" s="862"/>
      <c r="E123" s="862"/>
      <c r="F123" s="862"/>
      <c r="G123" s="862"/>
      <c r="H123" s="862"/>
      <c r="I123" s="862"/>
      <c r="J123" s="862"/>
      <c r="K123" s="857" t="s">
        <v>3909</v>
      </c>
      <c r="L123" s="857"/>
      <c r="M123" s="857"/>
      <c r="N123" s="857"/>
    </row>
    <row r="124" spans="2:23" ht="15" hidden="1" customHeight="1" x14ac:dyDescent="0.25">
      <c r="B124" s="210"/>
      <c r="C124" s="836" t="s">
        <v>14</v>
      </c>
      <c r="D124" s="836"/>
      <c r="E124" s="836"/>
      <c r="F124" s="836"/>
      <c r="G124" s="836"/>
      <c r="H124" s="836"/>
      <c r="I124" s="836"/>
      <c r="J124" s="837"/>
      <c r="K124" s="158">
        <v>0</v>
      </c>
      <c r="L124" s="211"/>
      <c r="M124" s="212"/>
      <c r="N124" s="158">
        <f>K124</f>
        <v>0</v>
      </c>
    </row>
    <row r="125" spans="2:23" ht="15" hidden="1" customHeight="1" x14ac:dyDescent="0.25">
      <c r="B125" s="863" t="s">
        <v>3933</v>
      </c>
      <c r="C125" s="864"/>
      <c r="D125" s="864"/>
      <c r="E125" s="864"/>
      <c r="F125" s="864"/>
      <c r="G125" s="864"/>
      <c r="H125" s="865"/>
      <c r="I125" s="543" t="s">
        <v>3980</v>
      </c>
      <c r="J125" s="543" t="s">
        <v>3981</v>
      </c>
      <c r="K125" s="200" t="s">
        <v>3982</v>
      </c>
      <c r="L125" s="152" t="s">
        <v>4086</v>
      </c>
      <c r="M125" s="152" t="s">
        <v>4087</v>
      </c>
      <c r="N125" s="153" t="s">
        <v>4062</v>
      </c>
      <c r="P125" s="72"/>
    </row>
    <row r="126" spans="2:23" ht="15" hidden="1" customHeight="1" x14ac:dyDescent="0.25">
      <c r="B126" s="216">
        <v>1</v>
      </c>
      <c r="C126" s="855"/>
      <c r="D126" s="855"/>
      <c r="E126" s="855"/>
      <c r="F126" s="855"/>
      <c r="G126" s="855"/>
      <c r="H126" s="856"/>
      <c r="I126" s="177"/>
      <c r="J126" s="142"/>
      <c r="K126" s="158">
        <f>N126-L126-M126</f>
        <v>0</v>
      </c>
      <c r="L126" s="142"/>
      <c r="M126" s="142"/>
      <c r="N126" s="158">
        <f>I126*J126</f>
        <v>0</v>
      </c>
    </row>
    <row r="127" spans="2:23" ht="15" hidden="1" customHeight="1" x14ac:dyDescent="0.25">
      <c r="B127" s="216">
        <v>2</v>
      </c>
      <c r="C127" s="855"/>
      <c r="D127" s="855"/>
      <c r="E127" s="855"/>
      <c r="F127" s="855"/>
      <c r="G127" s="855"/>
      <c r="H127" s="856"/>
      <c r="I127" s="177"/>
      <c r="J127" s="142"/>
      <c r="K127" s="158">
        <f>N127-L127-M127</f>
        <v>0</v>
      </c>
      <c r="L127" s="142"/>
      <c r="M127" s="142"/>
      <c r="N127" s="158">
        <f>I127*J127</f>
        <v>0</v>
      </c>
    </row>
    <row r="128" spans="2:23" ht="15" hidden="1" customHeight="1" x14ac:dyDescent="0.25">
      <c r="B128" s="216">
        <v>3</v>
      </c>
      <c r="C128" s="855"/>
      <c r="D128" s="855"/>
      <c r="E128" s="855"/>
      <c r="F128" s="855"/>
      <c r="G128" s="855"/>
      <c r="H128" s="856"/>
      <c r="I128" s="177"/>
      <c r="J128" s="142"/>
      <c r="K128" s="158">
        <f>N128-L128-M128</f>
        <v>0</v>
      </c>
      <c r="L128" s="142"/>
      <c r="M128" s="142"/>
      <c r="N128" s="158">
        <f>I128*J128</f>
        <v>0</v>
      </c>
    </row>
    <row r="129" spans="2:16" ht="15" hidden="1" customHeight="1" x14ac:dyDescent="0.25">
      <c r="B129" s="210"/>
      <c r="C129" s="836" t="s">
        <v>3933</v>
      </c>
      <c r="D129" s="836"/>
      <c r="E129" s="836"/>
      <c r="F129" s="836"/>
      <c r="G129" s="836"/>
      <c r="H129" s="836"/>
      <c r="I129" s="836"/>
      <c r="J129" s="837"/>
      <c r="K129" s="158">
        <f>SUM(K126:K128)</f>
        <v>0</v>
      </c>
      <c r="L129" s="158">
        <f>SUM(L126:L128)</f>
        <v>0</v>
      </c>
      <c r="M129" s="158">
        <f>SUM(M126:M128)</f>
        <v>0</v>
      </c>
      <c r="N129" s="158">
        <f>SUM(N126:N128)</f>
        <v>0</v>
      </c>
    </row>
    <row r="130" spans="2:16" ht="15" hidden="1" customHeight="1" x14ac:dyDescent="0.25">
      <c r="B130" s="206"/>
      <c r="C130" s="838" t="s">
        <v>4091</v>
      </c>
      <c r="D130" s="838"/>
      <c r="E130" s="838"/>
      <c r="F130" s="838"/>
      <c r="G130" s="838"/>
      <c r="H130" s="838"/>
      <c r="I130" s="838"/>
      <c r="J130" s="839"/>
      <c r="K130" s="207">
        <f>SUM(K124,K129)</f>
        <v>0</v>
      </c>
      <c r="L130" s="207">
        <f>SUM(L124,L129)</f>
        <v>0</v>
      </c>
      <c r="M130" s="207">
        <f>SUM(M124,M129)</f>
        <v>0</v>
      </c>
      <c r="N130" s="207">
        <f>SUM(N124,N129)</f>
        <v>0</v>
      </c>
    </row>
    <row r="131" spans="2:16" ht="15" hidden="1" customHeight="1" x14ac:dyDescent="0.25">
      <c r="B131" s="217"/>
      <c r="C131" s="840" t="s">
        <v>4092</v>
      </c>
      <c r="D131" s="840"/>
      <c r="E131" s="840"/>
      <c r="F131" s="840"/>
      <c r="G131" s="840"/>
      <c r="H131" s="840"/>
      <c r="I131" s="840"/>
      <c r="J131" s="841"/>
      <c r="K131" s="164">
        <f>SUM(K112,K122,K130)</f>
        <v>0</v>
      </c>
      <c r="L131" s="164">
        <f>SUM(L112,L122,L130)</f>
        <v>0</v>
      </c>
      <c r="M131" s="164">
        <f>SUM(M112,M122,M130)</f>
        <v>0</v>
      </c>
      <c r="N131" s="164">
        <f>SUM(N112,N122,N130)</f>
        <v>0</v>
      </c>
    </row>
    <row r="132" spans="2:16" ht="15" hidden="1" customHeight="1" x14ac:dyDescent="0.25">
      <c r="B132" s="858" t="s">
        <v>3934</v>
      </c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860"/>
    </row>
    <row r="133" spans="2:16" ht="15" hidden="1" customHeight="1" x14ac:dyDescent="0.25">
      <c r="B133" s="861" t="s">
        <v>4081</v>
      </c>
      <c r="C133" s="862"/>
      <c r="D133" s="862"/>
      <c r="E133" s="862"/>
      <c r="F133" s="862"/>
      <c r="G133" s="862"/>
      <c r="H133" s="862"/>
      <c r="I133" s="862"/>
      <c r="J133" s="862"/>
      <c r="K133" s="857" t="s">
        <v>3909</v>
      </c>
      <c r="L133" s="857"/>
      <c r="M133" s="857"/>
      <c r="N133" s="857"/>
    </row>
    <row r="134" spans="2:16" ht="15" hidden="1" customHeight="1" x14ac:dyDescent="0.25">
      <c r="B134" s="210"/>
      <c r="C134" s="836" t="s">
        <v>3935</v>
      </c>
      <c r="D134" s="836"/>
      <c r="E134" s="836"/>
      <c r="F134" s="836"/>
      <c r="G134" s="836"/>
      <c r="H134" s="836"/>
      <c r="I134" s="836"/>
      <c r="J134" s="837"/>
      <c r="K134" s="158">
        <v>0</v>
      </c>
      <c r="L134" s="211"/>
      <c r="M134" s="212"/>
      <c r="N134" s="158">
        <f>K134</f>
        <v>0</v>
      </c>
    </row>
    <row r="135" spans="2:16" ht="15" hidden="1" customHeight="1" x14ac:dyDescent="0.25">
      <c r="B135" s="863" t="s">
        <v>3923</v>
      </c>
      <c r="C135" s="864"/>
      <c r="D135" s="864"/>
      <c r="E135" s="864"/>
      <c r="F135" s="864"/>
      <c r="G135" s="864"/>
      <c r="H135" s="865"/>
      <c r="I135" s="543" t="s">
        <v>3980</v>
      </c>
      <c r="J135" s="543" t="s">
        <v>3981</v>
      </c>
      <c r="K135" s="200" t="s">
        <v>3982</v>
      </c>
      <c r="L135" s="152" t="s">
        <v>4086</v>
      </c>
      <c r="M135" s="152" t="s">
        <v>4087</v>
      </c>
      <c r="N135" s="153" t="s">
        <v>4062</v>
      </c>
      <c r="P135" s="72"/>
    </row>
    <row r="136" spans="2:16" ht="15" hidden="1" customHeight="1" x14ac:dyDescent="0.25">
      <c r="B136" s="216">
        <v>1</v>
      </c>
      <c r="C136" s="855"/>
      <c r="D136" s="855"/>
      <c r="E136" s="855"/>
      <c r="F136" s="855"/>
      <c r="G136" s="855"/>
      <c r="H136" s="856"/>
      <c r="I136" s="177"/>
      <c r="J136" s="142"/>
      <c r="K136" s="158">
        <f>N136-L136-M136</f>
        <v>0</v>
      </c>
      <c r="L136" s="142"/>
      <c r="M136" s="142"/>
      <c r="N136" s="158">
        <f>I136*J136</f>
        <v>0</v>
      </c>
    </row>
    <row r="137" spans="2:16" ht="15" hidden="1" customHeight="1" x14ac:dyDescent="0.25">
      <c r="B137" s="216">
        <v>2</v>
      </c>
      <c r="C137" s="855"/>
      <c r="D137" s="855"/>
      <c r="E137" s="855"/>
      <c r="F137" s="855"/>
      <c r="G137" s="855"/>
      <c r="H137" s="856"/>
      <c r="I137" s="177"/>
      <c r="J137" s="142"/>
      <c r="K137" s="158">
        <f>N137-L137-M137</f>
        <v>0</v>
      </c>
      <c r="L137" s="142"/>
      <c r="M137" s="142"/>
      <c r="N137" s="158">
        <f>I137*J137</f>
        <v>0</v>
      </c>
    </row>
    <row r="138" spans="2:16" ht="15" hidden="1" customHeight="1" x14ac:dyDescent="0.25">
      <c r="B138" s="216">
        <v>3</v>
      </c>
      <c r="C138" s="855"/>
      <c r="D138" s="855"/>
      <c r="E138" s="855"/>
      <c r="F138" s="855"/>
      <c r="G138" s="855"/>
      <c r="H138" s="856"/>
      <c r="I138" s="177"/>
      <c r="J138" s="142"/>
      <c r="K138" s="158">
        <f>N138-L138-M138</f>
        <v>0</v>
      </c>
      <c r="L138" s="142"/>
      <c r="M138" s="142"/>
      <c r="N138" s="158">
        <f>I138*J138</f>
        <v>0</v>
      </c>
    </row>
    <row r="139" spans="2:16" ht="15" hidden="1" customHeight="1" x14ac:dyDescent="0.25">
      <c r="B139" s="210"/>
      <c r="C139" s="836" t="s">
        <v>3923</v>
      </c>
      <c r="D139" s="836"/>
      <c r="E139" s="836"/>
      <c r="F139" s="836"/>
      <c r="G139" s="836"/>
      <c r="H139" s="836"/>
      <c r="I139" s="836"/>
      <c r="J139" s="837"/>
      <c r="K139" s="158">
        <f>SUM(K136:K138)</f>
        <v>0</v>
      </c>
      <c r="L139" s="158">
        <f>SUM(L136:L138)</f>
        <v>0</v>
      </c>
      <c r="M139" s="158">
        <f>SUM(M136:M138)</f>
        <v>0</v>
      </c>
      <c r="N139" s="158">
        <f>SUM(N136:N138)</f>
        <v>0</v>
      </c>
    </row>
    <row r="140" spans="2:16" ht="15" hidden="1" customHeight="1" x14ac:dyDescent="0.25">
      <c r="B140" s="863" t="s">
        <v>3925</v>
      </c>
      <c r="C140" s="864"/>
      <c r="D140" s="864"/>
      <c r="E140" s="864"/>
      <c r="F140" s="864"/>
      <c r="G140" s="864"/>
      <c r="H140" s="865"/>
      <c r="I140" s="543" t="s">
        <v>3980</v>
      </c>
      <c r="J140" s="543" t="s">
        <v>3981</v>
      </c>
      <c r="K140" s="200" t="s">
        <v>3982</v>
      </c>
      <c r="L140" s="152" t="s">
        <v>4086</v>
      </c>
      <c r="M140" s="152" t="s">
        <v>4087</v>
      </c>
      <c r="N140" s="153" t="s">
        <v>4062</v>
      </c>
      <c r="P140" s="72"/>
    </row>
    <row r="141" spans="2:16" ht="15" hidden="1" customHeight="1" x14ac:dyDescent="0.25">
      <c r="B141" s="216">
        <v>1</v>
      </c>
      <c r="C141" s="855"/>
      <c r="D141" s="855"/>
      <c r="E141" s="855"/>
      <c r="F141" s="855"/>
      <c r="G141" s="855"/>
      <c r="H141" s="856"/>
      <c r="I141" s="177"/>
      <c r="J141" s="142"/>
      <c r="K141" s="158">
        <f>N141-L141-M141</f>
        <v>0</v>
      </c>
      <c r="L141" s="142"/>
      <c r="M141" s="142"/>
      <c r="N141" s="158">
        <f>I141*J141</f>
        <v>0</v>
      </c>
    </row>
    <row r="142" spans="2:16" ht="15" hidden="1" customHeight="1" x14ac:dyDescent="0.25">
      <c r="B142" s="216">
        <v>2</v>
      </c>
      <c r="C142" s="855"/>
      <c r="D142" s="855"/>
      <c r="E142" s="855"/>
      <c r="F142" s="855"/>
      <c r="G142" s="855"/>
      <c r="H142" s="856"/>
      <c r="I142" s="177"/>
      <c r="J142" s="142"/>
      <c r="K142" s="158">
        <f>N142-L142-M142</f>
        <v>0</v>
      </c>
      <c r="L142" s="142"/>
      <c r="M142" s="142"/>
      <c r="N142" s="158">
        <f>I142*J142</f>
        <v>0</v>
      </c>
    </row>
    <row r="143" spans="2:16" ht="15" hidden="1" customHeight="1" x14ac:dyDescent="0.25">
      <c r="B143" s="216">
        <v>3</v>
      </c>
      <c r="C143" s="855"/>
      <c r="D143" s="855"/>
      <c r="E143" s="855"/>
      <c r="F143" s="855"/>
      <c r="G143" s="855"/>
      <c r="H143" s="856"/>
      <c r="I143" s="177"/>
      <c r="J143" s="142"/>
      <c r="K143" s="158">
        <f>N143-L143-M143</f>
        <v>0</v>
      </c>
      <c r="L143" s="142"/>
      <c r="M143" s="142"/>
      <c r="N143" s="158">
        <f>I143*J143</f>
        <v>0</v>
      </c>
    </row>
    <row r="144" spans="2:16" ht="15" hidden="1" customHeight="1" x14ac:dyDescent="0.25">
      <c r="B144" s="210"/>
      <c r="C144" s="836" t="s">
        <v>3925</v>
      </c>
      <c r="D144" s="836"/>
      <c r="E144" s="836"/>
      <c r="F144" s="836"/>
      <c r="G144" s="836"/>
      <c r="H144" s="836"/>
      <c r="I144" s="836"/>
      <c r="J144" s="837"/>
      <c r="K144" s="158">
        <f>SUM(K141:K143)</f>
        <v>0</v>
      </c>
      <c r="L144" s="158">
        <f>SUM(L141:L143)</f>
        <v>0</v>
      </c>
      <c r="M144" s="158">
        <f>SUM(M141:M143)</f>
        <v>0</v>
      </c>
      <c r="N144" s="158">
        <f>SUM(N141:N143)</f>
        <v>0</v>
      </c>
    </row>
    <row r="145" spans="2:16" ht="15" hidden="1" customHeight="1" x14ac:dyDescent="0.25">
      <c r="B145" s="210"/>
      <c r="C145" s="836" t="s">
        <v>3926</v>
      </c>
      <c r="D145" s="836"/>
      <c r="E145" s="836"/>
      <c r="F145" s="836"/>
      <c r="G145" s="836"/>
      <c r="H145" s="836"/>
      <c r="I145" s="836"/>
      <c r="J145" s="837"/>
      <c r="K145" s="158" t="e">
        <f>Descarte!K109</f>
        <v>#REF!</v>
      </c>
      <c r="L145" s="158" t="e">
        <f>Descarte!#REF!</f>
        <v>#REF!</v>
      </c>
      <c r="M145" s="158" t="e">
        <f>Descarte!#REF!</f>
        <v>#REF!</v>
      </c>
      <c r="N145" s="158">
        <f>Descarte!L109</f>
        <v>0</v>
      </c>
    </row>
    <row r="146" spans="2:16" ht="15" hidden="1" customHeight="1" x14ac:dyDescent="0.25">
      <c r="B146" s="210"/>
      <c r="C146" s="836" t="s">
        <v>3927</v>
      </c>
      <c r="D146" s="836"/>
      <c r="E146" s="836"/>
      <c r="F146" s="836"/>
      <c r="G146" s="836"/>
      <c r="H146" s="836"/>
      <c r="I146" s="836"/>
      <c r="J146" s="837"/>
      <c r="K146" s="158" t="e">
        <f>'M&amp;V'!M489</f>
        <v>#REF!</v>
      </c>
      <c r="L146" s="158" t="e">
        <f>'M&amp;V'!#REF!</f>
        <v>#REF!</v>
      </c>
      <c r="M146" s="158" t="e">
        <f>'M&amp;V'!#REF!</f>
        <v>#REF!</v>
      </c>
      <c r="N146" s="158">
        <f>'M&amp;V'!N489</f>
        <v>0</v>
      </c>
    </row>
    <row r="147" spans="2:16" ht="15" hidden="1" customHeight="1" x14ac:dyDescent="0.25">
      <c r="B147" s="863" t="s">
        <v>3929</v>
      </c>
      <c r="C147" s="864"/>
      <c r="D147" s="864"/>
      <c r="E147" s="864"/>
      <c r="F147" s="864"/>
      <c r="G147" s="864"/>
      <c r="H147" s="865"/>
      <c r="I147" s="543" t="s">
        <v>3980</v>
      </c>
      <c r="J147" s="543" t="s">
        <v>3981</v>
      </c>
      <c r="K147" s="200" t="s">
        <v>3982</v>
      </c>
      <c r="L147" s="152" t="s">
        <v>4086</v>
      </c>
      <c r="M147" s="152" t="s">
        <v>4087</v>
      </c>
      <c r="N147" s="153" t="s">
        <v>4062</v>
      </c>
      <c r="P147" s="72"/>
    </row>
    <row r="148" spans="2:16" ht="15" hidden="1" customHeight="1" x14ac:dyDescent="0.25">
      <c r="B148" s="216">
        <v>1</v>
      </c>
      <c r="C148" s="855"/>
      <c r="D148" s="855"/>
      <c r="E148" s="855"/>
      <c r="F148" s="855"/>
      <c r="G148" s="855"/>
      <c r="H148" s="856"/>
      <c r="I148" s="177"/>
      <c r="J148" s="142"/>
      <c r="K148" s="158">
        <f>N148-L148-M148</f>
        <v>0</v>
      </c>
      <c r="L148" s="142"/>
      <c r="M148" s="142"/>
      <c r="N148" s="158">
        <f>I148*J148</f>
        <v>0</v>
      </c>
    </row>
    <row r="149" spans="2:16" ht="15" hidden="1" customHeight="1" x14ac:dyDescent="0.25">
      <c r="B149" s="216">
        <v>2</v>
      </c>
      <c r="C149" s="855"/>
      <c r="D149" s="855"/>
      <c r="E149" s="855"/>
      <c r="F149" s="855"/>
      <c r="G149" s="855"/>
      <c r="H149" s="856"/>
      <c r="I149" s="177"/>
      <c r="J149" s="142"/>
      <c r="K149" s="158">
        <f>N149-L149-M149</f>
        <v>0</v>
      </c>
      <c r="L149" s="142"/>
      <c r="M149" s="142"/>
      <c r="N149" s="158">
        <f>I149*J149</f>
        <v>0</v>
      </c>
    </row>
    <row r="150" spans="2:16" ht="15" hidden="1" customHeight="1" x14ac:dyDescent="0.25">
      <c r="B150" s="216">
        <v>3</v>
      </c>
      <c r="C150" s="855"/>
      <c r="D150" s="855"/>
      <c r="E150" s="855"/>
      <c r="F150" s="855"/>
      <c r="G150" s="855"/>
      <c r="H150" s="856"/>
      <c r="I150" s="177"/>
      <c r="J150" s="142"/>
      <c r="K150" s="158">
        <f>N150-L150-M150</f>
        <v>0</v>
      </c>
      <c r="L150" s="142"/>
      <c r="M150" s="142"/>
      <c r="N150" s="158">
        <f>I150*J150</f>
        <v>0</v>
      </c>
    </row>
    <row r="151" spans="2:16" ht="15" hidden="1" customHeight="1" x14ac:dyDescent="0.25">
      <c r="B151" s="210"/>
      <c r="C151" s="836" t="s">
        <v>3929</v>
      </c>
      <c r="D151" s="836"/>
      <c r="E151" s="836"/>
      <c r="F151" s="836"/>
      <c r="G151" s="836"/>
      <c r="H151" s="836"/>
      <c r="I151" s="836"/>
      <c r="J151" s="837"/>
      <c r="K151" s="158">
        <f>SUM(K148:K150)</f>
        <v>0</v>
      </c>
      <c r="L151" s="158">
        <f>SUM(L148:L150)</f>
        <v>0</v>
      </c>
      <c r="M151" s="158">
        <f>SUM(M148:M150)</f>
        <v>0</v>
      </c>
      <c r="N151" s="158">
        <f>SUM(N148:N150)</f>
        <v>0</v>
      </c>
    </row>
    <row r="152" spans="2:16" ht="15" hidden="1" customHeight="1" x14ac:dyDescent="0.25">
      <c r="B152" s="217"/>
      <c r="C152" s="840" t="s">
        <v>4083</v>
      </c>
      <c r="D152" s="840"/>
      <c r="E152" s="840"/>
      <c r="F152" s="840"/>
      <c r="G152" s="840"/>
      <c r="H152" s="840"/>
      <c r="I152" s="840"/>
      <c r="J152" s="841"/>
      <c r="K152" s="164" t="e">
        <f>SUM(K134,K139,K144:K146,K151)</f>
        <v>#REF!</v>
      </c>
      <c r="L152" s="164" t="e">
        <f>SUM(L134,L139,L144:L146,L151)</f>
        <v>#REF!</v>
      </c>
      <c r="M152" s="164" t="e">
        <f>SUM(M134,M139,M144:M146,M151)</f>
        <v>#REF!</v>
      </c>
      <c r="N152" s="164">
        <f>SUM(N134,N139,N144:N146,N151)</f>
        <v>0</v>
      </c>
    </row>
    <row r="153" spans="2:16" ht="15" hidden="1" customHeight="1" x14ac:dyDescent="0.25">
      <c r="B153" s="218"/>
      <c r="C153" s="818" t="s">
        <v>4093</v>
      </c>
      <c r="D153" s="818"/>
      <c r="E153" s="818"/>
      <c r="F153" s="818"/>
      <c r="G153" s="818"/>
      <c r="H153" s="818"/>
      <c r="I153" s="818"/>
      <c r="J153" s="819"/>
      <c r="K153" s="209" t="e">
        <f>SUM(K131,K152)</f>
        <v>#REF!</v>
      </c>
      <c r="L153" s="209" t="e">
        <f>SUM(L131,L152)</f>
        <v>#REF!</v>
      </c>
      <c r="M153" s="209" t="e">
        <f>SUM(M131,M152)</f>
        <v>#REF!</v>
      </c>
      <c r="N153" s="209">
        <f>SUM(N131,N152)</f>
        <v>0</v>
      </c>
    </row>
  </sheetData>
  <sheetProtection algorithmName="SHA-512" hashValue="wbWBtXEhXzYr1zY1RBF1y5Zu0kzwDj/5f6tMO9ynB04o63aWdq1qvz6h2A0/ZGvPmzZil+e0wl4xybumjV00Vg==" saltValue="T3iRAndH98QajXEiOOYYeg==" spinCount="100000" sheet="1" objects="1" scenarios="1"/>
  <mergeCells count="239">
    <mergeCell ref="Q7:U7"/>
    <mergeCell ref="Q8:U8"/>
    <mergeCell ref="Q9:U9"/>
    <mergeCell ref="Q10:U10"/>
    <mergeCell ref="Q11:U11"/>
    <mergeCell ref="Q12:U12"/>
    <mergeCell ref="Q23:U23"/>
    <mergeCell ref="Q24:U24"/>
    <mergeCell ref="Q25:U25"/>
    <mergeCell ref="Q13:U13"/>
    <mergeCell ref="Q14:U14"/>
    <mergeCell ref="Q15:U15"/>
    <mergeCell ref="Q16:U16"/>
    <mergeCell ref="Q17:U17"/>
    <mergeCell ref="Q18:U18"/>
    <mergeCell ref="Q19:U19"/>
    <mergeCell ref="Q20:U20"/>
    <mergeCell ref="C47:J47"/>
    <mergeCell ref="C48:J48"/>
    <mergeCell ref="C71:G71"/>
    <mergeCell ref="Q22:U22"/>
    <mergeCell ref="C66:G66"/>
    <mergeCell ref="C34:G34"/>
    <mergeCell ref="C51:H51"/>
    <mergeCell ref="C52:H52"/>
    <mergeCell ref="B60:G60"/>
    <mergeCell ref="B59:J59"/>
    <mergeCell ref="C65:G65"/>
    <mergeCell ref="P60:U60"/>
    <mergeCell ref="Q61:U61"/>
    <mergeCell ref="Q62:U62"/>
    <mergeCell ref="P57:Y57"/>
    <mergeCell ref="P58:Y58"/>
    <mergeCell ref="B57:N57"/>
    <mergeCell ref="B58:N58"/>
    <mergeCell ref="C62:G62"/>
    <mergeCell ref="C55:J55"/>
    <mergeCell ref="K59:N59"/>
    <mergeCell ref="Q69:U69"/>
    <mergeCell ref="Q64:U64"/>
    <mergeCell ref="C64:G64"/>
    <mergeCell ref="C107:G107"/>
    <mergeCell ref="C98:G98"/>
    <mergeCell ref="C100:G100"/>
    <mergeCell ref="C96:G96"/>
    <mergeCell ref="C103:G103"/>
    <mergeCell ref="Q21:U21"/>
    <mergeCell ref="Q66:U66"/>
    <mergeCell ref="Q67:U67"/>
    <mergeCell ref="Q82:U82"/>
    <mergeCell ref="Q73:U73"/>
    <mergeCell ref="Q76:U76"/>
    <mergeCell ref="Q77:U77"/>
    <mergeCell ref="Q74:U74"/>
    <mergeCell ref="C22:G22"/>
    <mergeCell ref="C23:G23"/>
    <mergeCell ref="C24:G24"/>
    <mergeCell ref="C25:G25"/>
    <mergeCell ref="C73:G73"/>
    <mergeCell ref="C54:J54"/>
    <mergeCell ref="C68:G68"/>
    <mergeCell ref="C63:G63"/>
    <mergeCell ref="C69:G69"/>
    <mergeCell ref="C67:G67"/>
    <mergeCell ref="B28:J29"/>
    <mergeCell ref="Q63:U63"/>
    <mergeCell ref="Q110:U110"/>
    <mergeCell ref="C116:G116"/>
    <mergeCell ref="C117:G117"/>
    <mergeCell ref="C118:G118"/>
    <mergeCell ref="Q101:U101"/>
    <mergeCell ref="Q102:U102"/>
    <mergeCell ref="Q93:U93"/>
    <mergeCell ref="Q96:U96"/>
    <mergeCell ref="Q97:U97"/>
    <mergeCell ref="Q109:U109"/>
    <mergeCell ref="Q107:U107"/>
    <mergeCell ref="C108:G108"/>
    <mergeCell ref="Q108:U108"/>
    <mergeCell ref="Q105:U105"/>
    <mergeCell ref="C99:G99"/>
    <mergeCell ref="C104:G104"/>
    <mergeCell ref="C109:G109"/>
    <mergeCell ref="K113:N113"/>
    <mergeCell ref="B115:G115"/>
    <mergeCell ref="C114:J114"/>
    <mergeCell ref="Q89:U89"/>
    <mergeCell ref="C93:G93"/>
    <mergeCell ref="Q90:U90"/>
    <mergeCell ref="Q68:U68"/>
    <mergeCell ref="Q85:U85"/>
    <mergeCell ref="C76:G76"/>
    <mergeCell ref="C85:G85"/>
    <mergeCell ref="C77:G77"/>
    <mergeCell ref="C78:G78"/>
    <mergeCell ref="C82:G82"/>
    <mergeCell ref="C80:G80"/>
    <mergeCell ref="C83:G83"/>
    <mergeCell ref="C88:G88"/>
    <mergeCell ref="C75:G75"/>
    <mergeCell ref="Q78:U78"/>
    <mergeCell ref="Q75:U75"/>
    <mergeCell ref="Q70:U70"/>
    <mergeCell ref="Q71:U71"/>
    <mergeCell ref="Q72:U72"/>
    <mergeCell ref="C70:G70"/>
    <mergeCell ref="C74:G74"/>
    <mergeCell ref="C72:G72"/>
    <mergeCell ref="Q65:U65"/>
    <mergeCell ref="C79:G79"/>
    <mergeCell ref="Q84:U84"/>
    <mergeCell ref="Q86:U86"/>
    <mergeCell ref="Q87:U87"/>
    <mergeCell ref="C87:G87"/>
    <mergeCell ref="K41:N41"/>
    <mergeCell ref="Q26:U26"/>
    <mergeCell ref="C37:G37"/>
    <mergeCell ref="C38:J38"/>
    <mergeCell ref="C39:J39"/>
    <mergeCell ref="B30:G30"/>
    <mergeCell ref="C31:G31"/>
    <mergeCell ref="C32:G32"/>
    <mergeCell ref="C33:G33"/>
    <mergeCell ref="P27:V27"/>
    <mergeCell ref="K28:N29"/>
    <mergeCell ref="C35:G35"/>
    <mergeCell ref="C36:G36"/>
    <mergeCell ref="P59:X59"/>
    <mergeCell ref="C44:H44"/>
    <mergeCell ref="C45:H45"/>
    <mergeCell ref="C53:J53"/>
    <mergeCell ref="Q79:U79"/>
    <mergeCell ref="Q106:U106"/>
    <mergeCell ref="C102:G102"/>
    <mergeCell ref="Q104:U104"/>
    <mergeCell ref="Q80:U80"/>
    <mergeCell ref="C81:G81"/>
    <mergeCell ref="Q81:U81"/>
    <mergeCell ref="Q88:U88"/>
    <mergeCell ref="Q83:U83"/>
    <mergeCell ref="C84:G84"/>
    <mergeCell ref="Q95:U95"/>
    <mergeCell ref="Q99:U99"/>
    <mergeCell ref="Q103:U103"/>
    <mergeCell ref="Q100:U100"/>
    <mergeCell ref="C94:G94"/>
    <mergeCell ref="Q94:U94"/>
    <mergeCell ref="C95:G95"/>
    <mergeCell ref="Q91:U91"/>
    <mergeCell ref="Q92:U92"/>
    <mergeCell ref="C101:G101"/>
    <mergeCell ref="C91:G91"/>
    <mergeCell ref="C105:G105"/>
    <mergeCell ref="C97:G97"/>
    <mergeCell ref="C86:G86"/>
    <mergeCell ref="Q98:U98"/>
    <mergeCell ref="Q111:U111"/>
    <mergeCell ref="B113:J113"/>
    <mergeCell ref="C151:J151"/>
    <mergeCell ref="C149:H149"/>
    <mergeCell ref="C150:H150"/>
    <mergeCell ref="C112:J112"/>
    <mergeCell ref="B140:H140"/>
    <mergeCell ref="C141:H141"/>
    <mergeCell ref="C142:H142"/>
    <mergeCell ref="C143:H143"/>
    <mergeCell ref="C126:H126"/>
    <mergeCell ref="C111:G111"/>
    <mergeCell ref="C119:G119"/>
    <mergeCell ref="K123:N123"/>
    <mergeCell ref="P112:V112"/>
    <mergeCell ref="C148:H148"/>
    <mergeCell ref="C120:G120"/>
    <mergeCell ref="C121:J121"/>
    <mergeCell ref="C122:J122"/>
    <mergeCell ref="C124:J124"/>
    <mergeCell ref="B125:H125"/>
    <mergeCell ref="C144:J144"/>
    <mergeCell ref="C145:J145"/>
    <mergeCell ref="C146:J146"/>
    <mergeCell ref="C136:H136"/>
    <mergeCell ref="C137:H137"/>
    <mergeCell ref="C138:H138"/>
    <mergeCell ref="K133:N133"/>
    <mergeCell ref="B132:N132"/>
    <mergeCell ref="C127:H127"/>
    <mergeCell ref="C128:H128"/>
    <mergeCell ref="B123:J123"/>
    <mergeCell ref="B147:H147"/>
    <mergeCell ref="B133:J133"/>
    <mergeCell ref="B135:H135"/>
    <mergeCell ref="C15:G15"/>
    <mergeCell ref="C16:G16"/>
    <mergeCell ref="C17:G17"/>
    <mergeCell ref="C18:G18"/>
    <mergeCell ref="C153:J153"/>
    <mergeCell ref="C129:J129"/>
    <mergeCell ref="C130:J130"/>
    <mergeCell ref="C131:J131"/>
    <mergeCell ref="C134:J134"/>
    <mergeCell ref="C139:J139"/>
    <mergeCell ref="C152:J152"/>
    <mergeCell ref="C50:H50"/>
    <mergeCell ref="C43:H43"/>
    <mergeCell ref="C27:J27"/>
    <mergeCell ref="C26:G26"/>
    <mergeCell ref="C46:J46"/>
    <mergeCell ref="B49:H49"/>
    <mergeCell ref="B42:H42"/>
    <mergeCell ref="C61:G61"/>
    <mergeCell ref="C89:G89"/>
    <mergeCell ref="C92:G92"/>
    <mergeCell ref="C90:G90"/>
    <mergeCell ref="C106:G106"/>
    <mergeCell ref="C110:G110"/>
    <mergeCell ref="C19:G19"/>
    <mergeCell ref="C20:G20"/>
    <mergeCell ref="C21:G21"/>
    <mergeCell ref="B40:N40"/>
    <mergeCell ref="B41:J41"/>
    <mergeCell ref="P2:Y2"/>
    <mergeCell ref="P3:Y3"/>
    <mergeCell ref="B2:N2"/>
    <mergeCell ref="B3:N3"/>
    <mergeCell ref="B4:J4"/>
    <mergeCell ref="K4:N4"/>
    <mergeCell ref="C7:G7"/>
    <mergeCell ref="C8:G8"/>
    <mergeCell ref="C9:G9"/>
    <mergeCell ref="P4:X4"/>
    <mergeCell ref="P5:U5"/>
    <mergeCell ref="C6:G6"/>
    <mergeCell ref="Q6:U6"/>
    <mergeCell ref="B5:G5"/>
    <mergeCell ref="C10:G10"/>
    <mergeCell ref="C11:G11"/>
    <mergeCell ref="C12:G12"/>
    <mergeCell ref="C13:G13"/>
    <mergeCell ref="C14:G14"/>
  </mergeCells>
  <conditionalFormatting sqref="K6:K27 L27:N27 K31:K39 L38:N39 K43:K48 N46 N48 K50:K55 L53:N55">
    <cfRule type="cellIs" dxfId="77" priority="1" operator="lessThan">
      <formula>0</formula>
    </cfRule>
  </conditionalFormatting>
  <conditionalFormatting sqref="K61:K112 K114 K116:K122 K124 K126:K131 K134 K136:K139 K141:K146 K148:K153">
    <cfRule type="cellIs" dxfId="76" priority="4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1 A112:IV115 A61:G61 K61:V61 A117:IV65448 A116:G116 K116:IV116 K56:IV56 A26:A34 A57:IV60 A56:I56 A40:A43 A46:A55 Z26:IV34 Z46:IV55 A2:A6 Z2:IV6 Z37:IV39 A62:V111 X61:IV111 Z40:IV43 A37:A39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7"/>
  <dimension ref="A1:DC96"/>
  <sheetViews>
    <sheetView zoomScale="115" zoomScaleNormal="115" workbookViewId="0">
      <selection activeCell="O33" sqref="O33"/>
    </sheetView>
  </sheetViews>
  <sheetFormatPr defaultColWidth="9.140625" defaultRowHeight="15" customHeight="1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1.7109375" style="76" customWidth="1"/>
    <col min="5" max="5" width="9.85546875" style="219" bestFit="1" customWidth="1"/>
    <col min="6" max="6" width="9.5703125" style="220" bestFit="1" customWidth="1"/>
    <col min="7" max="7" width="14.140625" style="76" bestFit="1" customWidth="1"/>
    <col min="8" max="8" width="13.140625" style="76" bestFit="1" customWidth="1"/>
    <col min="9" max="9" width="13.42578125" style="76" bestFit="1" customWidth="1"/>
    <col min="10" max="107" width="11.7109375" style="76" customWidth="1"/>
    <col min="108" max="16384" width="9.140625" style="76"/>
  </cols>
  <sheetData>
    <row r="1" spans="1:107" ht="15" customHeight="1" x14ac:dyDescent="0.25">
      <c r="A1" s="52"/>
    </row>
    <row r="2" spans="1:107" ht="15" customHeight="1" x14ac:dyDescent="0.25">
      <c r="B2" s="649" t="s">
        <v>4094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</row>
    <row r="3" spans="1:10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4095</v>
      </c>
      <c r="I3" s="224" t="s">
        <v>4096</v>
      </c>
      <c r="J3" s="224" t="s">
        <v>4097</v>
      </c>
      <c r="K3" s="224" t="s">
        <v>4098</v>
      </c>
      <c r="L3" s="224" t="s">
        <v>4099</v>
      </c>
      <c r="M3" s="224" t="s">
        <v>4100</v>
      </c>
      <c r="N3" s="224" t="s">
        <v>4101</v>
      </c>
      <c r="O3" s="224" t="s">
        <v>4102</v>
      </c>
      <c r="P3" s="224" t="s">
        <v>4103</v>
      </c>
      <c r="Q3" s="224" t="s">
        <v>4104</v>
      </c>
      <c r="R3" s="224" t="s">
        <v>4105</v>
      </c>
      <c r="S3" s="224" t="s">
        <v>4106</v>
      </c>
      <c r="T3" s="224" t="s">
        <v>4107</v>
      </c>
      <c r="U3" s="224" t="s">
        <v>4108</v>
      </c>
      <c r="V3" s="224" t="s">
        <v>4109</v>
      </c>
      <c r="W3" s="224" t="s">
        <v>4110</v>
      </c>
      <c r="X3" s="224" t="s">
        <v>4111</v>
      </c>
      <c r="Y3" s="224" t="s">
        <v>4112</v>
      </c>
      <c r="Z3" s="224" t="s">
        <v>4113</v>
      </c>
      <c r="AA3" s="224" t="s">
        <v>4114</v>
      </c>
      <c r="AB3" s="224" t="s">
        <v>4115</v>
      </c>
      <c r="AC3" s="224" t="s">
        <v>4116</v>
      </c>
      <c r="AD3" s="224" t="s">
        <v>4117</v>
      </c>
      <c r="AE3" s="224" t="s">
        <v>4118</v>
      </c>
      <c r="AF3" s="224" t="s">
        <v>4119</v>
      </c>
      <c r="AG3" s="224" t="s">
        <v>4120</v>
      </c>
      <c r="AH3" s="224" t="s">
        <v>4121</v>
      </c>
      <c r="AI3" s="224" t="s">
        <v>4122</v>
      </c>
      <c r="AJ3" s="224" t="s">
        <v>4123</v>
      </c>
      <c r="AK3" s="224" t="s">
        <v>4124</v>
      </c>
      <c r="AL3" s="224" t="s">
        <v>4125</v>
      </c>
      <c r="AM3" s="224" t="s">
        <v>4126</v>
      </c>
      <c r="AN3" s="224" t="s">
        <v>4127</v>
      </c>
      <c r="AO3" s="224" t="s">
        <v>4128</v>
      </c>
      <c r="AP3" s="224" t="s">
        <v>4129</v>
      </c>
      <c r="AQ3" s="224" t="s">
        <v>4130</v>
      </c>
      <c r="AR3" s="224" t="s">
        <v>4131</v>
      </c>
      <c r="AS3" s="224" t="s">
        <v>4132</v>
      </c>
      <c r="AT3" s="224" t="s">
        <v>4133</v>
      </c>
      <c r="AU3" s="224" t="s">
        <v>4134</v>
      </c>
      <c r="AV3" s="224" t="s">
        <v>4135</v>
      </c>
      <c r="AW3" s="224" t="s">
        <v>4136</v>
      </c>
      <c r="AX3" s="224" t="s">
        <v>4137</v>
      </c>
      <c r="AY3" s="224" t="s">
        <v>4138</v>
      </c>
      <c r="AZ3" s="224" t="s">
        <v>4139</v>
      </c>
      <c r="BA3" s="224" t="s">
        <v>4140</v>
      </c>
      <c r="BB3" s="224" t="s">
        <v>4141</v>
      </c>
      <c r="BC3" s="224" t="s">
        <v>4142</v>
      </c>
      <c r="BD3" s="224" t="s">
        <v>4143</v>
      </c>
      <c r="BE3" s="224" t="s">
        <v>4144</v>
      </c>
      <c r="BF3" s="224" t="s">
        <v>4145</v>
      </c>
      <c r="BG3" s="224" t="s">
        <v>4146</v>
      </c>
      <c r="BH3" s="224" t="s">
        <v>4147</v>
      </c>
      <c r="BI3" s="224" t="s">
        <v>4148</v>
      </c>
      <c r="BJ3" s="224" t="s">
        <v>4149</v>
      </c>
      <c r="BK3" s="224" t="s">
        <v>4150</v>
      </c>
      <c r="BL3" s="224" t="s">
        <v>4151</v>
      </c>
      <c r="BM3" s="224" t="s">
        <v>4152</v>
      </c>
      <c r="BN3" s="224" t="s">
        <v>4153</v>
      </c>
      <c r="BO3" s="224" t="s">
        <v>4154</v>
      </c>
      <c r="BP3" s="224" t="s">
        <v>4155</v>
      </c>
      <c r="BQ3" s="224" t="s">
        <v>4156</v>
      </c>
      <c r="BR3" s="224" t="s">
        <v>4157</v>
      </c>
      <c r="BS3" s="224" t="s">
        <v>4158</v>
      </c>
      <c r="BT3" s="224" t="s">
        <v>4159</v>
      </c>
      <c r="BU3" s="224" t="s">
        <v>4160</v>
      </c>
      <c r="BV3" s="224" t="s">
        <v>4161</v>
      </c>
      <c r="BW3" s="224" t="s">
        <v>4162</v>
      </c>
      <c r="BX3" s="224" t="s">
        <v>4163</v>
      </c>
      <c r="BY3" s="224" t="s">
        <v>4164</v>
      </c>
      <c r="BZ3" s="224" t="s">
        <v>4165</v>
      </c>
      <c r="CA3" s="224" t="s">
        <v>4166</v>
      </c>
      <c r="CB3" s="224" t="s">
        <v>4167</v>
      </c>
      <c r="CC3" s="224" t="s">
        <v>4168</v>
      </c>
      <c r="CD3" s="224" t="s">
        <v>4169</v>
      </c>
      <c r="CE3" s="224" t="s">
        <v>4170</v>
      </c>
      <c r="CF3" s="224" t="s">
        <v>4171</v>
      </c>
      <c r="CG3" s="224" t="s">
        <v>4172</v>
      </c>
      <c r="CH3" s="224" t="s">
        <v>4173</v>
      </c>
      <c r="CI3" s="224" t="s">
        <v>4174</v>
      </c>
      <c r="CJ3" s="224" t="s">
        <v>4175</v>
      </c>
      <c r="CK3" s="224" t="s">
        <v>4176</v>
      </c>
      <c r="CL3" s="224" t="s">
        <v>4177</v>
      </c>
      <c r="CM3" s="224" t="s">
        <v>4178</v>
      </c>
      <c r="CN3" s="224" t="s">
        <v>4179</v>
      </c>
      <c r="CO3" s="224" t="s">
        <v>4180</v>
      </c>
      <c r="CP3" s="224" t="s">
        <v>4181</v>
      </c>
      <c r="CQ3" s="224" t="s">
        <v>4182</v>
      </c>
      <c r="CR3" s="224" t="s">
        <v>4183</v>
      </c>
      <c r="CS3" s="224" t="s">
        <v>4184</v>
      </c>
      <c r="CT3" s="224" t="s">
        <v>4185</v>
      </c>
      <c r="CU3" s="224" t="s">
        <v>4186</v>
      </c>
      <c r="CV3" s="224" t="s">
        <v>4187</v>
      </c>
      <c r="CW3" s="224" t="s">
        <v>4188</v>
      </c>
      <c r="CX3" s="224" t="s">
        <v>4189</v>
      </c>
      <c r="CY3" s="224" t="s">
        <v>4190</v>
      </c>
      <c r="CZ3" s="224" t="s">
        <v>4191</v>
      </c>
      <c r="DA3" s="224" t="s">
        <v>4192</v>
      </c>
      <c r="DB3" s="224" t="s">
        <v>4193</v>
      </c>
      <c r="DC3" s="224" t="s">
        <v>4194</v>
      </c>
    </row>
    <row r="4" spans="1:10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</row>
    <row r="5" spans="1:107" ht="15" customHeight="1" x14ac:dyDescent="0.25">
      <c r="B5" s="515">
        <v>2</v>
      </c>
      <c r="C5" s="225" t="s">
        <v>4196</v>
      </c>
      <c r="D5" s="225"/>
      <c r="E5" s="226"/>
      <c r="F5" s="227"/>
      <c r="G5" s="22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spans="1:107" ht="15" customHeight="1" x14ac:dyDescent="0.25">
      <c r="B6" s="515">
        <v>3</v>
      </c>
      <c r="C6" s="903" t="s">
        <v>4197</v>
      </c>
      <c r="D6" s="230" t="s">
        <v>4198</v>
      </c>
      <c r="E6" s="231" t="s">
        <v>4199</v>
      </c>
      <c r="F6" s="232" t="s">
        <v>4200</v>
      </c>
      <c r="G6" s="233">
        <f>SUM(H6:DC6)</f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</row>
    <row r="7" spans="1:107" ht="15" customHeight="1" x14ac:dyDescent="0.25">
      <c r="B7" s="515">
        <v>4</v>
      </c>
      <c r="C7" s="904"/>
      <c r="D7" s="230" t="s">
        <v>3980</v>
      </c>
      <c r="E7" s="231"/>
      <c r="F7" s="232" t="s">
        <v>4201</v>
      </c>
      <c r="G7" s="235">
        <f>SUM(H7:DC7)</f>
        <v>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</row>
    <row r="8" spans="1:107" ht="15" customHeight="1" x14ac:dyDescent="0.25">
      <c r="B8" s="515">
        <v>3</v>
      </c>
      <c r="C8" s="903" t="s">
        <v>4202</v>
      </c>
      <c r="D8" s="230" t="s">
        <v>4198</v>
      </c>
      <c r="E8" s="231" t="s">
        <v>4199</v>
      </c>
      <c r="F8" s="232" t="s">
        <v>4203</v>
      </c>
      <c r="G8" s="233">
        <f>SUM(H8:DC8)</f>
        <v>0</v>
      </c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</row>
    <row r="9" spans="1:107" ht="15" customHeight="1" x14ac:dyDescent="0.25">
      <c r="B9" s="515">
        <v>4</v>
      </c>
      <c r="C9" s="904"/>
      <c r="D9" s="230" t="s">
        <v>3980</v>
      </c>
      <c r="E9" s="231"/>
      <c r="F9" s="232" t="s">
        <v>4204</v>
      </c>
      <c r="G9" s="235">
        <f>SUM(H9:DC9)</f>
        <v>0</v>
      </c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  <c r="CT9" s="463"/>
      <c r="CU9" s="463"/>
      <c r="CV9" s="463"/>
      <c r="CW9" s="463"/>
      <c r="CX9" s="463"/>
      <c r="CY9" s="463"/>
      <c r="CZ9" s="463"/>
      <c r="DA9" s="463"/>
      <c r="DB9" s="463"/>
      <c r="DC9" s="463"/>
    </row>
    <row r="10" spans="1:107" ht="15" customHeight="1" x14ac:dyDescent="0.25">
      <c r="B10" s="515">
        <v>5</v>
      </c>
      <c r="C10" s="225" t="s">
        <v>4205</v>
      </c>
      <c r="D10" s="225"/>
      <c r="E10" s="231" t="s">
        <v>3857</v>
      </c>
      <c r="F10" s="232" t="s">
        <v>4206</v>
      </c>
      <c r="G10" s="233">
        <f>SUM(H10:DC10)</f>
        <v>0</v>
      </c>
      <c r="H10" s="236">
        <f>(H6*H7+H8*H9)/1000</f>
        <v>0</v>
      </c>
      <c r="I10" s="236">
        <f t="shared" ref="I10:BT10" si="0">(I6*I7+I8*I9)/1000</f>
        <v>0</v>
      </c>
      <c r="J10" s="236">
        <f>(J6*J7+J8*J9)/1000</f>
        <v>0</v>
      </c>
      <c r="K10" s="236">
        <f t="shared" si="0"/>
        <v>0</v>
      </c>
      <c r="L10" s="236">
        <f t="shared" si="0"/>
        <v>0</v>
      </c>
      <c r="M10" s="236">
        <f t="shared" si="0"/>
        <v>0</v>
      </c>
      <c r="N10" s="236">
        <f t="shared" si="0"/>
        <v>0</v>
      </c>
      <c r="O10" s="236">
        <f t="shared" si="0"/>
        <v>0</v>
      </c>
      <c r="P10" s="236">
        <f t="shared" si="0"/>
        <v>0</v>
      </c>
      <c r="Q10" s="236">
        <f t="shared" si="0"/>
        <v>0</v>
      </c>
      <c r="R10" s="236">
        <f t="shared" si="0"/>
        <v>0</v>
      </c>
      <c r="S10" s="236">
        <f t="shared" si="0"/>
        <v>0</v>
      </c>
      <c r="T10" s="236">
        <f t="shared" si="0"/>
        <v>0</v>
      </c>
      <c r="U10" s="236">
        <f t="shared" si="0"/>
        <v>0</v>
      </c>
      <c r="V10" s="236">
        <f t="shared" si="0"/>
        <v>0</v>
      </c>
      <c r="W10" s="236">
        <f t="shared" si="0"/>
        <v>0</v>
      </c>
      <c r="X10" s="236">
        <f t="shared" si="0"/>
        <v>0</v>
      </c>
      <c r="Y10" s="236">
        <f t="shared" si="0"/>
        <v>0</v>
      </c>
      <c r="Z10" s="236">
        <f t="shared" si="0"/>
        <v>0</v>
      </c>
      <c r="AA10" s="236">
        <f t="shared" si="0"/>
        <v>0</v>
      </c>
      <c r="AB10" s="236">
        <f t="shared" si="0"/>
        <v>0</v>
      </c>
      <c r="AC10" s="236">
        <f t="shared" si="0"/>
        <v>0</v>
      </c>
      <c r="AD10" s="236">
        <f t="shared" si="0"/>
        <v>0</v>
      </c>
      <c r="AE10" s="236">
        <f t="shared" si="0"/>
        <v>0</v>
      </c>
      <c r="AF10" s="236">
        <f t="shared" si="0"/>
        <v>0</v>
      </c>
      <c r="AG10" s="236">
        <f t="shared" si="0"/>
        <v>0</v>
      </c>
      <c r="AH10" s="236">
        <f t="shared" si="0"/>
        <v>0</v>
      </c>
      <c r="AI10" s="236">
        <f t="shared" si="0"/>
        <v>0</v>
      </c>
      <c r="AJ10" s="236">
        <f t="shared" si="0"/>
        <v>0</v>
      </c>
      <c r="AK10" s="236">
        <f t="shared" si="0"/>
        <v>0</v>
      </c>
      <c r="AL10" s="236">
        <f t="shared" si="0"/>
        <v>0</v>
      </c>
      <c r="AM10" s="236">
        <f t="shared" si="0"/>
        <v>0</v>
      </c>
      <c r="AN10" s="236">
        <f t="shared" si="0"/>
        <v>0</v>
      </c>
      <c r="AO10" s="236">
        <f t="shared" si="0"/>
        <v>0</v>
      </c>
      <c r="AP10" s="236">
        <f t="shared" si="0"/>
        <v>0</v>
      </c>
      <c r="AQ10" s="236">
        <f t="shared" si="0"/>
        <v>0</v>
      </c>
      <c r="AR10" s="236">
        <f t="shared" si="0"/>
        <v>0</v>
      </c>
      <c r="AS10" s="236">
        <f t="shared" si="0"/>
        <v>0</v>
      </c>
      <c r="AT10" s="236">
        <f t="shared" si="0"/>
        <v>0</v>
      </c>
      <c r="AU10" s="236">
        <f t="shared" si="0"/>
        <v>0</v>
      </c>
      <c r="AV10" s="236">
        <f t="shared" si="0"/>
        <v>0</v>
      </c>
      <c r="AW10" s="236">
        <f t="shared" si="0"/>
        <v>0</v>
      </c>
      <c r="AX10" s="236">
        <f t="shared" si="0"/>
        <v>0</v>
      </c>
      <c r="AY10" s="236">
        <f t="shared" si="0"/>
        <v>0</v>
      </c>
      <c r="AZ10" s="236">
        <f t="shared" si="0"/>
        <v>0</v>
      </c>
      <c r="BA10" s="236">
        <f t="shared" si="0"/>
        <v>0</v>
      </c>
      <c r="BB10" s="236">
        <f t="shared" si="0"/>
        <v>0</v>
      </c>
      <c r="BC10" s="236">
        <f t="shared" si="0"/>
        <v>0</v>
      </c>
      <c r="BD10" s="236">
        <f t="shared" si="0"/>
        <v>0</v>
      </c>
      <c r="BE10" s="236">
        <f t="shared" si="0"/>
        <v>0</v>
      </c>
      <c r="BF10" s="236">
        <f t="shared" si="0"/>
        <v>0</v>
      </c>
      <c r="BG10" s="236">
        <f t="shared" si="0"/>
        <v>0</v>
      </c>
      <c r="BH10" s="236">
        <f t="shared" si="0"/>
        <v>0</v>
      </c>
      <c r="BI10" s="236">
        <f t="shared" si="0"/>
        <v>0</v>
      </c>
      <c r="BJ10" s="236">
        <f t="shared" si="0"/>
        <v>0</v>
      </c>
      <c r="BK10" s="236">
        <f t="shared" si="0"/>
        <v>0</v>
      </c>
      <c r="BL10" s="236">
        <f t="shared" si="0"/>
        <v>0</v>
      </c>
      <c r="BM10" s="236">
        <f t="shared" si="0"/>
        <v>0</v>
      </c>
      <c r="BN10" s="236">
        <f t="shared" si="0"/>
        <v>0</v>
      </c>
      <c r="BO10" s="236">
        <f t="shared" si="0"/>
        <v>0</v>
      </c>
      <c r="BP10" s="236">
        <f t="shared" si="0"/>
        <v>0</v>
      </c>
      <c r="BQ10" s="236">
        <f t="shared" si="0"/>
        <v>0</v>
      </c>
      <c r="BR10" s="236">
        <f t="shared" si="0"/>
        <v>0</v>
      </c>
      <c r="BS10" s="236">
        <f t="shared" si="0"/>
        <v>0</v>
      </c>
      <c r="BT10" s="236">
        <f t="shared" si="0"/>
        <v>0</v>
      </c>
      <c r="BU10" s="236">
        <f t="shared" ref="BU10:DC10" si="1">(BU6*BU7+BU8*BU9)/1000</f>
        <v>0</v>
      </c>
      <c r="BV10" s="236">
        <f t="shared" si="1"/>
        <v>0</v>
      </c>
      <c r="BW10" s="236">
        <f t="shared" si="1"/>
        <v>0</v>
      </c>
      <c r="BX10" s="236">
        <f t="shared" si="1"/>
        <v>0</v>
      </c>
      <c r="BY10" s="236">
        <f t="shared" si="1"/>
        <v>0</v>
      </c>
      <c r="BZ10" s="236">
        <f t="shared" si="1"/>
        <v>0</v>
      </c>
      <c r="CA10" s="236">
        <f t="shared" si="1"/>
        <v>0</v>
      </c>
      <c r="CB10" s="236">
        <f t="shared" si="1"/>
        <v>0</v>
      </c>
      <c r="CC10" s="236">
        <f t="shared" si="1"/>
        <v>0</v>
      </c>
      <c r="CD10" s="236">
        <f t="shared" si="1"/>
        <v>0</v>
      </c>
      <c r="CE10" s="236">
        <f t="shared" si="1"/>
        <v>0</v>
      </c>
      <c r="CF10" s="236">
        <f t="shared" si="1"/>
        <v>0</v>
      </c>
      <c r="CG10" s="236">
        <f t="shared" si="1"/>
        <v>0</v>
      </c>
      <c r="CH10" s="236">
        <f t="shared" si="1"/>
        <v>0</v>
      </c>
      <c r="CI10" s="236">
        <f t="shared" si="1"/>
        <v>0</v>
      </c>
      <c r="CJ10" s="236">
        <f t="shared" si="1"/>
        <v>0</v>
      </c>
      <c r="CK10" s="236">
        <f t="shared" si="1"/>
        <v>0</v>
      </c>
      <c r="CL10" s="236">
        <f t="shared" si="1"/>
        <v>0</v>
      </c>
      <c r="CM10" s="236">
        <f t="shared" si="1"/>
        <v>0</v>
      </c>
      <c r="CN10" s="236">
        <f t="shared" si="1"/>
        <v>0</v>
      </c>
      <c r="CO10" s="236">
        <f t="shared" si="1"/>
        <v>0</v>
      </c>
      <c r="CP10" s="236">
        <f t="shared" si="1"/>
        <v>0</v>
      </c>
      <c r="CQ10" s="236">
        <f t="shared" si="1"/>
        <v>0</v>
      </c>
      <c r="CR10" s="236">
        <f t="shared" si="1"/>
        <v>0</v>
      </c>
      <c r="CS10" s="236">
        <f t="shared" si="1"/>
        <v>0</v>
      </c>
      <c r="CT10" s="236">
        <f t="shared" si="1"/>
        <v>0</v>
      </c>
      <c r="CU10" s="236">
        <f t="shared" si="1"/>
        <v>0</v>
      </c>
      <c r="CV10" s="236">
        <f t="shared" si="1"/>
        <v>0</v>
      </c>
      <c r="CW10" s="236">
        <f t="shared" si="1"/>
        <v>0</v>
      </c>
      <c r="CX10" s="236">
        <f t="shared" si="1"/>
        <v>0</v>
      </c>
      <c r="CY10" s="236">
        <f t="shared" si="1"/>
        <v>0</v>
      </c>
      <c r="CZ10" s="236">
        <f t="shared" si="1"/>
        <v>0</v>
      </c>
      <c r="DA10" s="236">
        <f t="shared" si="1"/>
        <v>0</v>
      </c>
      <c r="DB10" s="236">
        <f t="shared" si="1"/>
        <v>0</v>
      </c>
      <c r="DC10" s="236">
        <f t="shared" si="1"/>
        <v>0</v>
      </c>
    </row>
    <row r="11" spans="1:107" ht="15" customHeight="1" x14ac:dyDescent="0.25">
      <c r="B11" s="899">
        <v>6</v>
      </c>
      <c r="C11" s="225" t="s">
        <v>4207</v>
      </c>
      <c r="D11" s="225"/>
      <c r="E11" s="231" t="s">
        <v>4208</v>
      </c>
      <c r="F11" s="232"/>
      <c r="G11" s="237" t="str">
        <f>IF(COUNTA(H11:DC11)=0,"",IF(OR(LARGE(H11:DC11,1)&gt;24,SMALL(H11:DC11,1)&lt;0),"ERRO",""))</f>
        <v/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</row>
    <row r="12" spans="1:107" ht="15" customHeight="1" x14ac:dyDescent="0.25">
      <c r="B12" s="900"/>
      <c r="C12" s="239" t="s">
        <v>4209</v>
      </c>
      <c r="D12" s="239"/>
      <c r="E12" s="558" t="s">
        <v>4210</v>
      </c>
      <c r="F12" s="232"/>
      <c r="G12" s="237" t="str">
        <f>IF(COUNTA(H12:DC12)=0,"",IF(OR(LARGE(H12:DC12,1)&gt;365,SMALL(H12:DC12,1)&lt;0),"ERRO",""))</f>
        <v/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</row>
    <row r="13" spans="1:107" ht="15" customHeight="1" x14ac:dyDescent="0.25">
      <c r="B13" s="901"/>
      <c r="C13" s="225" t="s">
        <v>4211</v>
      </c>
      <c r="D13" s="225"/>
      <c r="E13" s="231" t="s">
        <v>4212</v>
      </c>
      <c r="F13" s="232" t="s">
        <v>4213</v>
      </c>
      <c r="G13" s="237" t="str">
        <f>IF(COUNTA(H13:DC13)=0,"",IF(OR(LARGE(H13:DC13,1)&gt;8760,SMALL(H13:DC13,1)&lt;0),"ERRO",""))</f>
        <v/>
      </c>
      <c r="H13" s="241">
        <f>H11*H12</f>
        <v>0</v>
      </c>
      <c r="I13" s="241">
        <f t="shared" ref="I13:BT13" si="2">I11*I12</f>
        <v>0</v>
      </c>
      <c r="J13" s="241">
        <f t="shared" si="2"/>
        <v>0</v>
      </c>
      <c r="K13" s="241">
        <f t="shared" si="2"/>
        <v>0</v>
      </c>
      <c r="L13" s="241">
        <f t="shared" si="2"/>
        <v>0</v>
      </c>
      <c r="M13" s="241">
        <f t="shared" si="2"/>
        <v>0</v>
      </c>
      <c r="N13" s="241">
        <f t="shared" si="2"/>
        <v>0</v>
      </c>
      <c r="O13" s="241">
        <f t="shared" si="2"/>
        <v>0</v>
      </c>
      <c r="P13" s="241">
        <f t="shared" si="2"/>
        <v>0</v>
      </c>
      <c r="Q13" s="241">
        <f t="shared" si="2"/>
        <v>0</v>
      </c>
      <c r="R13" s="241">
        <f t="shared" si="2"/>
        <v>0</v>
      </c>
      <c r="S13" s="241">
        <f t="shared" si="2"/>
        <v>0</v>
      </c>
      <c r="T13" s="241">
        <f t="shared" si="2"/>
        <v>0</v>
      </c>
      <c r="U13" s="241">
        <f t="shared" si="2"/>
        <v>0</v>
      </c>
      <c r="V13" s="241">
        <f t="shared" si="2"/>
        <v>0</v>
      </c>
      <c r="W13" s="241">
        <f t="shared" si="2"/>
        <v>0</v>
      </c>
      <c r="X13" s="241">
        <f t="shared" si="2"/>
        <v>0</v>
      </c>
      <c r="Y13" s="241">
        <f t="shared" si="2"/>
        <v>0</v>
      </c>
      <c r="Z13" s="241">
        <f t="shared" si="2"/>
        <v>0</v>
      </c>
      <c r="AA13" s="241">
        <f t="shared" si="2"/>
        <v>0</v>
      </c>
      <c r="AB13" s="241">
        <f t="shared" si="2"/>
        <v>0</v>
      </c>
      <c r="AC13" s="241">
        <f t="shared" si="2"/>
        <v>0</v>
      </c>
      <c r="AD13" s="241">
        <f t="shared" si="2"/>
        <v>0</v>
      </c>
      <c r="AE13" s="241">
        <f t="shared" si="2"/>
        <v>0</v>
      </c>
      <c r="AF13" s="241">
        <f t="shared" si="2"/>
        <v>0</v>
      </c>
      <c r="AG13" s="241">
        <f t="shared" si="2"/>
        <v>0</v>
      </c>
      <c r="AH13" s="241">
        <f t="shared" si="2"/>
        <v>0</v>
      </c>
      <c r="AI13" s="241">
        <f t="shared" si="2"/>
        <v>0</v>
      </c>
      <c r="AJ13" s="241">
        <f t="shared" si="2"/>
        <v>0</v>
      </c>
      <c r="AK13" s="241">
        <f t="shared" si="2"/>
        <v>0</v>
      </c>
      <c r="AL13" s="241">
        <f t="shared" si="2"/>
        <v>0</v>
      </c>
      <c r="AM13" s="241">
        <f t="shared" si="2"/>
        <v>0</v>
      </c>
      <c r="AN13" s="241">
        <f t="shared" si="2"/>
        <v>0</v>
      </c>
      <c r="AO13" s="241">
        <f t="shared" si="2"/>
        <v>0</v>
      </c>
      <c r="AP13" s="241">
        <f t="shared" si="2"/>
        <v>0</v>
      </c>
      <c r="AQ13" s="241">
        <f t="shared" si="2"/>
        <v>0</v>
      </c>
      <c r="AR13" s="241">
        <f t="shared" si="2"/>
        <v>0</v>
      </c>
      <c r="AS13" s="241">
        <f t="shared" si="2"/>
        <v>0</v>
      </c>
      <c r="AT13" s="241">
        <f t="shared" si="2"/>
        <v>0</v>
      </c>
      <c r="AU13" s="241">
        <f t="shared" si="2"/>
        <v>0</v>
      </c>
      <c r="AV13" s="241">
        <f t="shared" si="2"/>
        <v>0</v>
      </c>
      <c r="AW13" s="241">
        <f t="shared" si="2"/>
        <v>0</v>
      </c>
      <c r="AX13" s="241">
        <f t="shared" si="2"/>
        <v>0</v>
      </c>
      <c r="AY13" s="241">
        <f t="shared" si="2"/>
        <v>0</v>
      </c>
      <c r="AZ13" s="241">
        <f t="shared" si="2"/>
        <v>0</v>
      </c>
      <c r="BA13" s="241">
        <f t="shared" si="2"/>
        <v>0</v>
      </c>
      <c r="BB13" s="241">
        <f t="shared" si="2"/>
        <v>0</v>
      </c>
      <c r="BC13" s="241">
        <f t="shared" si="2"/>
        <v>0</v>
      </c>
      <c r="BD13" s="241">
        <f t="shared" si="2"/>
        <v>0</v>
      </c>
      <c r="BE13" s="241">
        <f t="shared" si="2"/>
        <v>0</v>
      </c>
      <c r="BF13" s="241">
        <f t="shared" si="2"/>
        <v>0</v>
      </c>
      <c r="BG13" s="241">
        <f t="shared" si="2"/>
        <v>0</v>
      </c>
      <c r="BH13" s="241">
        <f t="shared" si="2"/>
        <v>0</v>
      </c>
      <c r="BI13" s="241">
        <f t="shared" si="2"/>
        <v>0</v>
      </c>
      <c r="BJ13" s="241">
        <f t="shared" si="2"/>
        <v>0</v>
      </c>
      <c r="BK13" s="241">
        <f t="shared" si="2"/>
        <v>0</v>
      </c>
      <c r="BL13" s="241">
        <f t="shared" si="2"/>
        <v>0</v>
      </c>
      <c r="BM13" s="241">
        <f t="shared" si="2"/>
        <v>0</v>
      </c>
      <c r="BN13" s="241">
        <f t="shared" si="2"/>
        <v>0</v>
      </c>
      <c r="BO13" s="241">
        <f t="shared" si="2"/>
        <v>0</v>
      </c>
      <c r="BP13" s="241">
        <f t="shared" si="2"/>
        <v>0</v>
      </c>
      <c r="BQ13" s="241">
        <f t="shared" si="2"/>
        <v>0</v>
      </c>
      <c r="BR13" s="241">
        <f t="shared" si="2"/>
        <v>0</v>
      </c>
      <c r="BS13" s="241">
        <f t="shared" si="2"/>
        <v>0</v>
      </c>
      <c r="BT13" s="241">
        <f t="shared" si="2"/>
        <v>0</v>
      </c>
      <c r="BU13" s="241">
        <f t="shared" ref="BU13:DC13" si="3">BU11*BU12</f>
        <v>0</v>
      </c>
      <c r="BV13" s="241">
        <f t="shared" si="3"/>
        <v>0</v>
      </c>
      <c r="BW13" s="241">
        <f t="shared" si="3"/>
        <v>0</v>
      </c>
      <c r="BX13" s="241">
        <f t="shared" si="3"/>
        <v>0</v>
      </c>
      <c r="BY13" s="241">
        <f t="shared" si="3"/>
        <v>0</v>
      </c>
      <c r="BZ13" s="241">
        <f t="shared" si="3"/>
        <v>0</v>
      </c>
      <c r="CA13" s="241">
        <f t="shared" si="3"/>
        <v>0</v>
      </c>
      <c r="CB13" s="241">
        <f t="shared" si="3"/>
        <v>0</v>
      </c>
      <c r="CC13" s="241">
        <f t="shared" si="3"/>
        <v>0</v>
      </c>
      <c r="CD13" s="241">
        <f t="shared" si="3"/>
        <v>0</v>
      </c>
      <c r="CE13" s="241">
        <f t="shared" si="3"/>
        <v>0</v>
      </c>
      <c r="CF13" s="241">
        <f t="shared" si="3"/>
        <v>0</v>
      </c>
      <c r="CG13" s="241">
        <f t="shared" si="3"/>
        <v>0</v>
      </c>
      <c r="CH13" s="241">
        <f t="shared" si="3"/>
        <v>0</v>
      </c>
      <c r="CI13" s="241">
        <f t="shared" si="3"/>
        <v>0</v>
      </c>
      <c r="CJ13" s="241">
        <f t="shared" si="3"/>
        <v>0</v>
      </c>
      <c r="CK13" s="241">
        <f t="shared" si="3"/>
        <v>0</v>
      </c>
      <c r="CL13" s="241">
        <f t="shared" si="3"/>
        <v>0</v>
      </c>
      <c r="CM13" s="241">
        <f t="shared" si="3"/>
        <v>0</v>
      </c>
      <c r="CN13" s="241">
        <f t="shared" si="3"/>
        <v>0</v>
      </c>
      <c r="CO13" s="241">
        <f t="shared" si="3"/>
        <v>0</v>
      </c>
      <c r="CP13" s="241">
        <f t="shared" si="3"/>
        <v>0</v>
      </c>
      <c r="CQ13" s="241">
        <f t="shared" si="3"/>
        <v>0</v>
      </c>
      <c r="CR13" s="241">
        <f t="shared" si="3"/>
        <v>0</v>
      </c>
      <c r="CS13" s="241">
        <f t="shared" si="3"/>
        <v>0</v>
      </c>
      <c r="CT13" s="241">
        <f t="shared" si="3"/>
        <v>0</v>
      </c>
      <c r="CU13" s="241">
        <f t="shared" si="3"/>
        <v>0</v>
      </c>
      <c r="CV13" s="241">
        <f t="shared" si="3"/>
        <v>0</v>
      </c>
      <c r="CW13" s="241">
        <f t="shared" si="3"/>
        <v>0</v>
      </c>
      <c r="CX13" s="241">
        <f t="shared" si="3"/>
        <v>0</v>
      </c>
      <c r="CY13" s="241">
        <f t="shared" si="3"/>
        <v>0</v>
      </c>
      <c r="CZ13" s="241">
        <f t="shared" si="3"/>
        <v>0</v>
      </c>
      <c r="DA13" s="241">
        <f t="shared" si="3"/>
        <v>0</v>
      </c>
      <c r="DB13" s="241">
        <f t="shared" si="3"/>
        <v>0</v>
      </c>
      <c r="DC13" s="241">
        <f t="shared" si="3"/>
        <v>0</v>
      </c>
    </row>
    <row r="14" spans="1:107" ht="15" customHeight="1" x14ac:dyDescent="0.25">
      <c r="B14" s="899">
        <v>7</v>
      </c>
      <c r="C14" s="225" t="s">
        <v>4214</v>
      </c>
      <c r="D14" s="225"/>
      <c r="E14" s="231" t="s">
        <v>4208</v>
      </c>
      <c r="F14" s="232" t="s">
        <v>4215</v>
      </c>
      <c r="G14" s="237" t="str">
        <f>IF(COUNTA(H14:DC14)=0,"",IF(OR(LARGE(H14:DC14,1)&gt;3,SMALL(H14:DC14,1)&lt;0),"ERRO",""))</f>
        <v/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spans="1:107" ht="15" customHeight="1" x14ac:dyDescent="0.25">
      <c r="B15" s="900"/>
      <c r="C15" s="225" t="s">
        <v>4216</v>
      </c>
      <c r="D15" s="225"/>
      <c r="E15" s="226" t="s">
        <v>4217</v>
      </c>
      <c r="F15" s="232" t="s">
        <v>4218</v>
      </c>
      <c r="G15" s="237" t="str">
        <f>IF(COUNTA(H15:DC15)=0,"",IF(OR(LARGE(H15:DC15,1)&gt;22,SMALL(H15:DC15,1)&lt;0),"ERRO",""))</f>
        <v/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</row>
    <row r="16" spans="1:107" ht="15" customHeight="1" x14ac:dyDescent="0.25">
      <c r="B16" s="900"/>
      <c r="C16" s="225" t="s">
        <v>4219</v>
      </c>
      <c r="D16" s="225"/>
      <c r="E16" s="226" t="s">
        <v>4220</v>
      </c>
      <c r="F16" s="232" t="s">
        <v>4221</v>
      </c>
      <c r="G16" s="237" t="str">
        <f>IF(COUNTA(H16:DC16)=0,"",IF(OR(LARGE(H16:DC16,1)&gt;12,SMALL(H16:DC16,1)&lt;0),"ERRO",""))</f>
        <v/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</row>
    <row r="17" spans="2:107" ht="15" customHeight="1" x14ac:dyDescent="0.25">
      <c r="B17" s="900"/>
      <c r="C17" s="225" t="s">
        <v>4222</v>
      </c>
      <c r="D17" s="225"/>
      <c r="E17" s="231" t="s">
        <v>3857</v>
      </c>
      <c r="F17" s="232" t="s">
        <v>4223</v>
      </c>
      <c r="G17" s="233">
        <f>SUM(H17:DC17)</f>
        <v>0</v>
      </c>
      <c r="H17" s="236">
        <f>H10*((H14*H15*H16)/792)</f>
        <v>0</v>
      </c>
      <c r="I17" s="236">
        <f>I10*((I14*I15*I16)/792)</f>
        <v>0</v>
      </c>
      <c r="J17" s="236">
        <f t="shared" ref="J17:BT17" si="4">J10*((J14*J15*J16)/792)</f>
        <v>0</v>
      </c>
      <c r="K17" s="236">
        <f t="shared" si="4"/>
        <v>0</v>
      </c>
      <c r="L17" s="236">
        <f t="shared" si="4"/>
        <v>0</v>
      </c>
      <c r="M17" s="236">
        <f t="shared" si="4"/>
        <v>0</v>
      </c>
      <c r="N17" s="236">
        <f t="shared" si="4"/>
        <v>0</v>
      </c>
      <c r="O17" s="236">
        <f t="shared" si="4"/>
        <v>0</v>
      </c>
      <c r="P17" s="236">
        <f t="shared" si="4"/>
        <v>0</v>
      </c>
      <c r="Q17" s="236">
        <f t="shared" si="4"/>
        <v>0</v>
      </c>
      <c r="R17" s="236">
        <f t="shared" si="4"/>
        <v>0</v>
      </c>
      <c r="S17" s="236">
        <f t="shared" si="4"/>
        <v>0</v>
      </c>
      <c r="T17" s="236">
        <f t="shared" si="4"/>
        <v>0</v>
      </c>
      <c r="U17" s="236">
        <f t="shared" si="4"/>
        <v>0</v>
      </c>
      <c r="V17" s="236">
        <f t="shared" si="4"/>
        <v>0</v>
      </c>
      <c r="W17" s="236">
        <f t="shared" si="4"/>
        <v>0</v>
      </c>
      <c r="X17" s="236">
        <f t="shared" si="4"/>
        <v>0</v>
      </c>
      <c r="Y17" s="236">
        <f t="shared" si="4"/>
        <v>0</v>
      </c>
      <c r="Z17" s="236">
        <f t="shared" si="4"/>
        <v>0</v>
      </c>
      <c r="AA17" s="236">
        <f t="shared" si="4"/>
        <v>0</v>
      </c>
      <c r="AB17" s="236">
        <f t="shared" si="4"/>
        <v>0</v>
      </c>
      <c r="AC17" s="236">
        <f t="shared" si="4"/>
        <v>0</v>
      </c>
      <c r="AD17" s="236">
        <f t="shared" si="4"/>
        <v>0</v>
      </c>
      <c r="AE17" s="236">
        <f t="shared" si="4"/>
        <v>0</v>
      </c>
      <c r="AF17" s="236">
        <f t="shared" si="4"/>
        <v>0</v>
      </c>
      <c r="AG17" s="236">
        <f t="shared" si="4"/>
        <v>0</v>
      </c>
      <c r="AH17" s="236">
        <f t="shared" si="4"/>
        <v>0</v>
      </c>
      <c r="AI17" s="236">
        <f t="shared" si="4"/>
        <v>0</v>
      </c>
      <c r="AJ17" s="236">
        <f t="shared" si="4"/>
        <v>0</v>
      </c>
      <c r="AK17" s="236">
        <f t="shared" si="4"/>
        <v>0</v>
      </c>
      <c r="AL17" s="236">
        <f t="shared" si="4"/>
        <v>0</v>
      </c>
      <c r="AM17" s="236">
        <f t="shared" si="4"/>
        <v>0</v>
      </c>
      <c r="AN17" s="236">
        <f t="shared" si="4"/>
        <v>0</v>
      </c>
      <c r="AO17" s="236">
        <f t="shared" si="4"/>
        <v>0</v>
      </c>
      <c r="AP17" s="236">
        <f t="shared" si="4"/>
        <v>0</v>
      </c>
      <c r="AQ17" s="236">
        <f t="shared" si="4"/>
        <v>0</v>
      </c>
      <c r="AR17" s="236">
        <f t="shared" si="4"/>
        <v>0</v>
      </c>
      <c r="AS17" s="236">
        <f t="shared" si="4"/>
        <v>0</v>
      </c>
      <c r="AT17" s="236">
        <f t="shared" si="4"/>
        <v>0</v>
      </c>
      <c r="AU17" s="236">
        <f t="shared" si="4"/>
        <v>0</v>
      </c>
      <c r="AV17" s="236">
        <f t="shared" si="4"/>
        <v>0</v>
      </c>
      <c r="AW17" s="236">
        <f t="shared" si="4"/>
        <v>0</v>
      </c>
      <c r="AX17" s="236">
        <f t="shared" si="4"/>
        <v>0</v>
      </c>
      <c r="AY17" s="236">
        <f t="shared" si="4"/>
        <v>0</v>
      </c>
      <c r="AZ17" s="236">
        <f t="shared" si="4"/>
        <v>0</v>
      </c>
      <c r="BA17" s="236">
        <f t="shared" si="4"/>
        <v>0</v>
      </c>
      <c r="BB17" s="236">
        <f t="shared" si="4"/>
        <v>0</v>
      </c>
      <c r="BC17" s="236">
        <f t="shared" si="4"/>
        <v>0</v>
      </c>
      <c r="BD17" s="236">
        <f t="shared" si="4"/>
        <v>0</v>
      </c>
      <c r="BE17" s="236">
        <f t="shared" si="4"/>
        <v>0</v>
      </c>
      <c r="BF17" s="236">
        <f t="shared" si="4"/>
        <v>0</v>
      </c>
      <c r="BG17" s="236">
        <f t="shared" si="4"/>
        <v>0</v>
      </c>
      <c r="BH17" s="236">
        <f t="shared" si="4"/>
        <v>0</v>
      </c>
      <c r="BI17" s="236">
        <f t="shared" si="4"/>
        <v>0</v>
      </c>
      <c r="BJ17" s="236">
        <f t="shared" si="4"/>
        <v>0</v>
      </c>
      <c r="BK17" s="236">
        <f t="shared" si="4"/>
        <v>0</v>
      </c>
      <c r="BL17" s="236">
        <f t="shared" si="4"/>
        <v>0</v>
      </c>
      <c r="BM17" s="236">
        <f t="shared" si="4"/>
        <v>0</v>
      </c>
      <c r="BN17" s="236">
        <f t="shared" si="4"/>
        <v>0</v>
      </c>
      <c r="BO17" s="236">
        <f t="shared" si="4"/>
        <v>0</v>
      </c>
      <c r="BP17" s="236">
        <f t="shared" si="4"/>
        <v>0</v>
      </c>
      <c r="BQ17" s="236">
        <f t="shared" si="4"/>
        <v>0</v>
      </c>
      <c r="BR17" s="236">
        <f t="shared" si="4"/>
        <v>0</v>
      </c>
      <c r="BS17" s="236">
        <f t="shared" si="4"/>
        <v>0</v>
      </c>
      <c r="BT17" s="236">
        <f t="shared" si="4"/>
        <v>0</v>
      </c>
      <c r="BU17" s="236">
        <f t="shared" ref="BU17:DC17" si="5">BU10*((BU14*BU15*BU16)/792)</f>
        <v>0</v>
      </c>
      <c r="BV17" s="236">
        <f t="shared" si="5"/>
        <v>0</v>
      </c>
      <c r="BW17" s="236">
        <f t="shared" si="5"/>
        <v>0</v>
      </c>
      <c r="BX17" s="236">
        <f t="shared" si="5"/>
        <v>0</v>
      </c>
      <c r="BY17" s="236">
        <f t="shared" si="5"/>
        <v>0</v>
      </c>
      <c r="BZ17" s="236">
        <f t="shared" si="5"/>
        <v>0</v>
      </c>
      <c r="CA17" s="236">
        <f t="shared" si="5"/>
        <v>0</v>
      </c>
      <c r="CB17" s="236">
        <f t="shared" si="5"/>
        <v>0</v>
      </c>
      <c r="CC17" s="236">
        <f t="shared" si="5"/>
        <v>0</v>
      </c>
      <c r="CD17" s="236">
        <f t="shared" si="5"/>
        <v>0</v>
      </c>
      <c r="CE17" s="236">
        <f t="shared" si="5"/>
        <v>0</v>
      </c>
      <c r="CF17" s="236">
        <f t="shared" si="5"/>
        <v>0</v>
      </c>
      <c r="CG17" s="236">
        <f t="shared" si="5"/>
        <v>0</v>
      </c>
      <c r="CH17" s="236">
        <f t="shared" si="5"/>
        <v>0</v>
      </c>
      <c r="CI17" s="236">
        <f t="shared" si="5"/>
        <v>0</v>
      </c>
      <c r="CJ17" s="236">
        <f t="shared" si="5"/>
        <v>0</v>
      </c>
      <c r="CK17" s="236">
        <f t="shared" si="5"/>
        <v>0</v>
      </c>
      <c r="CL17" s="236">
        <f t="shared" si="5"/>
        <v>0</v>
      </c>
      <c r="CM17" s="236">
        <f t="shared" si="5"/>
        <v>0</v>
      </c>
      <c r="CN17" s="236">
        <f t="shared" si="5"/>
        <v>0</v>
      </c>
      <c r="CO17" s="236">
        <f t="shared" si="5"/>
        <v>0</v>
      </c>
      <c r="CP17" s="236">
        <f t="shared" si="5"/>
        <v>0</v>
      </c>
      <c r="CQ17" s="236">
        <f t="shared" si="5"/>
        <v>0</v>
      </c>
      <c r="CR17" s="236">
        <f t="shared" si="5"/>
        <v>0</v>
      </c>
      <c r="CS17" s="236">
        <f t="shared" si="5"/>
        <v>0</v>
      </c>
      <c r="CT17" s="236">
        <f t="shared" si="5"/>
        <v>0</v>
      </c>
      <c r="CU17" s="236">
        <f t="shared" si="5"/>
        <v>0</v>
      </c>
      <c r="CV17" s="236">
        <f t="shared" si="5"/>
        <v>0</v>
      </c>
      <c r="CW17" s="236">
        <f t="shared" si="5"/>
        <v>0</v>
      </c>
      <c r="CX17" s="236">
        <f t="shared" si="5"/>
        <v>0</v>
      </c>
      <c r="CY17" s="236">
        <f t="shared" si="5"/>
        <v>0</v>
      </c>
      <c r="CZ17" s="236">
        <f t="shared" si="5"/>
        <v>0</v>
      </c>
      <c r="DA17" s="236">
        <f t="shared" si="5"/>
        <v>0</v>
      </c>
      <c r="DB17" s="236">
        <f t="shared" si="5"/>
        <v>0</v>
      </c>
      <c r="DC17" s="236">
        <f t="shared" si="5"/>
        <v>0</v>
      </c>
    </row>
    <row r="18" spans="2:107" ht="15" customHeight="1" x14ac:dyDescent="0.25">
      <c r="B18" s="901"/>
      <c r="C18" s="225" t="s">
        <v>4224</v>
      </c>
      <c r="D18" s="225"/>
      <c r="E18" s="225"/>
      <c r="F18" s="232" t="s">
        <v>4225</v>
      </c>
      <c r="G18" s="237" t="str">
        <f>IF(COUNTA(H18:DC18)=0,"",IF(OR(LARGE(H18:DC18,1)&gt;1,SMALL(H18:DC18,1)&lt;0),"ERRO",""))</f>
        <v/>
      </c>
      <c r="H18" s="242">
        <f>IF(H10=0,0,H17/H10)</f>
        <v>0</v>
      </c>
      <c r="I18" s="242">
        <f t="shared" ref="I18:BT18" si="6">IF(I10=0,0,I17/I10)</f>
        <v>0</v>
      </c>
      <c r="J18" s="242">
        <f t="shared" si="6"/>
        <v>0</v>
      </c>
      <c r="K18" s="242">
        <f t="shared" si="6"/>
        <v>0</v>
      </c>
      <c r="L18" s="242">
        <f t="shared" si="6"/>
        <v>0</v>
      </c>
      <c r="M18" s="242">
        <f t="shared" si="6"/>
        <v>0</v>
      </c>
      <c r="N18" s="242">
        <f t="shared" si="6"/>
        <v>0</v>
      </c>
      <c r="O18" s="242">
        <f t="shared" si="6"/>
        <v>0</v>
      </c>
      <c r="P18" s="242">
        <f t="shared" si="6"/>
        <v>0</v>
      </c>
      <c r="Q18" s="242">
        <f t="shared" si="6"/>
        <v>0</v>
      </c>
      <c r="R18" s="242">
        <f t="shared" si="6"/>
        <v>0</v>
      </c>
      <c r="S18" s="242">
        <f t="shared" si="6"/>
        <v>0</v>
      </c>
      <c r="T18" s="242">
        <f t="shared" si="6"/>
        <v>0</v>
      </c>
      <c r="U18" s="242">
        <f t="shared" si="6"/>
        <v>0</v>
      </c>
      <c r="V18" s="242">
        <f t="shared" si="6"/>
        <v>0</v>
      </c>
      <c r="W18" s="242">
        <f t="shared" si="6"/>
        <v>0</v>
      </c>
      <c r="X18" s="242">
        <f t="shared" si="6"/>
        <v>0</v>
      </c>
      <c r="Y18" s="242">
        <f t="shared" si="6"/>
        <v>0</v>
      </c>
      <c r="Z18" s="242">
        <f t="shared" si="6"/>
        <v>0</v>
      </c>
      <c r="AA18" s="242">
        <f t="shared" si="6"/>
        <v>0</v>
      </c>
      <c r="AB18" s="242">
        <f t="shared" si="6"/>
        <v>0</v>
      </c>
      <c r="AC18" s="242">
        <f t="shared" si="6"/>
        <v>0</v>
      </c>
      <c r="AD18" s="242">
        <f t="shared" si="6"/>
        <v>0</v>
      </c>
      <c r="AE18" s="242">
        <f t="shared" si="6"/>
        <v>0</v>
      </c>
      <c r="AF18" s="242">
        <f t="shared" si="6"/>
        <v>0</v>
      </c>
      <c r="AG18" s="242">
        <f t="shared" si="6"/>
        <v>0</v>
      </c>
      <c r="AH18" s="242">
        <f t="shared" si="6"/>
        <v>0</v>
      </c>
      <c r="AI18" s="242">
        <f t="shared" si="6"/>
        <v>0</v>
      </c>
      <c r="AJ18" s="242">
        <f t="shared" si="6"/>
        <v>0</v>
      </c>
      <c r="AK18" s="242">
        <f t="shared" si="6"/>
        <v>0</v>
      </c>
      <c r="AL18" s="242">
        <f t="shared" si="6"/>
        <v>0</v>
      </c>
      <c r="AM18" s="242">
        <f t="shared" si="6"/>
        <v>0</v>
      </c>
      <c r="AN18" s="242">
        <f t="shared" si="6"/>
        <v>0</v>
      </c>
      <c r="AO18" s="242">
        <f t="shared" si="6"/>
        <v>0</v>
      </c>
      <c r="AP18" s="242">
        <f t="shared" si="6"/>
        <v>0</v>
      </c>
      <c r="AQ18" s="242">
        <f t="shared" si="6"/>
        <v>0</v>
      </c>
      <c r="AR18" s="242">
        <f t="shared" si="6"/>
        <v>0</v>
      </c>
      <c r="AS18" s="242">
        <f t="shared" si="6"/>
        <v>0</v>
      </c>
      <c r="AT18" s="242">
        <f t="shared" si="6"/>
        <v>0</v>
      </c>
      <c r="AU18" s="242">
        <f t="shared" si="6"/>
        <v>0</v>
      </c>
      <c r="AV18" s="242">
        <f t="shared" si="6"/>
        <v>0</v>
      </c>
      <c r="AW18" s="242">
        <f t="shared" si="6"/>
        <v>0</v>
      </c>
      <c r="AX18" s="242">
        <f t="shared" si="6"/>
        <v>0</v>
      </c>
      <c r="AY18" s="242">
        <f t="shared" si="6"/>
        <v>0</v>
      </c>
      <c r="AZ18" s="242">
        <f t="shared" si="6"/>
        <v>0</v>
      </c>
      <c r="BA18" s="242">
        <f t="shared" si="6"/>
        <v>0</v>
      </c>
      <c r="BB18" s="242">
        <f t="shared" si="6"/>
        <v>0</v>
      </c>
      <c r="BC18" s="242">
        <f t="shared" si="6"/>
        <v>0</v>
      </c>
      <c r="BD18" s="242">
        <f t="shared" si="6"/>
        <v>0</v>
      </c>
      <c r="BE18" s="242">
        <f t="shared" si="6"/>
        <v>0</v>
      </c>
      <c r="BF18" s="242">
        <f t="shared" si="6"/>
        <v>0</v>
      </c>
      <c r="BG18" s="242">
        <f t="shared" si="6"/>
        <v>0</v>
      </c>
      <c r="BH18" s="242">
        <f t="shared" si="6"/>
        <v>0</v>
      </c>
      <c r="BI18" s="242">
        <f t="shared" si="6"/>
        <v>0</v>
      </c>
      <c r="BJ18" s="242">
        <f t="shared" si="6"/>
        <v>0</v>
      </c>
      <c r="BK18" s="242">
        <f t="shared" si="6"/>
        <v>0</v>
      </c>
      <c r="BL18" s="242">
        <f t="shared" si="6"/>
        <v>0</v>
      </c>
      <c r="BM18" s="242">
        <f t="shared" si="6"/>
        <v>0</v>
      </c>
      <c r="BN18" s="242">
        <f t="shared" si="6"/>
        <v>0</v>
      </c>
      <c r="BO18" s="242">
        <f t="shared" si="6"/>
        <v>0</v>
      </c>
      <c r="BP18" s="242">
        <f t="shared" si="6"/>
        <v>0</v>
      </c>
      <c r="BQ18" s="242">
        <f t="shared" si="6"/>
        <v>0</v>
      </c>
      <c r="BR18" s="242">
        <f t="shared" si="6"/>
        <v>0</v>
      </c>
      <c r="BS18" s="242">
        <f t="shared" si="6"/>
        <v>0</v>
      </c>
      <c r="BT18" s="242">
        <f t="shared" si="6"/>
        <v>0</v>
      </c>
      <c r="BU18" s="242">
        <f t="shared" ref="BU18:DC18" si="7">IF(BU10=0,0,BU17/BU10)</f>
        <v>0</v>
      </c>
      <c r="BV18" s="242">
        <f t="shared" si="7"/>
        <v>0</v>
      </c>
      <c r="BW18" s="242">
        <f t="shared" si="7"/>
        <v>0</v>
      </c>
      <c r="BX18" s="242">
        <f t="shared" si="7"/>
        <v>0</v>
      </c>
      <c r="BY18" s="242">
        <f t="shared" si="7"/>
        <v>0</v>
      </c>
      <c r="BZ18" s="242">
        <f t="shared" si="7"/>
        <v>0</v>
      </c>
      <c r="CA18" s="242">
        <f t="shared" si="7"/>
        <v>0</v>
      </c>
      <c r="CB18" s="242">
        <f t="shared" si="7"/>
        <v>0</v>
      </c>
      <c r="CC18" s="242">
        <f t="shared" si="7"/>
        <v>0</v>
      </c>
      <c r="CD18" s="242">
        <f t="shared" si="7"/>
        <v>0</v>
      </c>
      <c r="CE18" s="242">
        <f t="shared" si="7"/>
        <v>0</v>
      </c>
      <c r="CF18" s="242">
        <f t="shared" si="7"/>
        <v>0</v>
      </c>
      <c r="CG18" s="242">
        <f t="shared" si="7"/>
        <v>0</v>
      </c>
      <c r="CH18" s="242">
        <f t="shared" si="7"/>
        <v>0</v>
      </c>
      <c r="CI18" s="242">
        <f t="shared" si="7"/>
        <v>0</v>
      </c>
      <c r="CJ18" s="242">
        <f t="shared" si="7"/>
        <v>0</v>
      </c>
      <c r="CK18" s="242">
        <f t="shared" si="7"/>
        <v>0</v>
      </c>
      <c r="CL18" s="242">
        <f t="shared" si="7"/>
        <v>0</v>
      </c>
      <c r="CM18" s="242">
        <f t="shared" si="7"/>
        <v>0</v>
      </c>
      <c r="CN18" s="242">
        <f t="shared" si="7"/>
        <v>0</v>
      </c>
      <c r="CO18" s="242">
        <f t="shared" si="7"/>
        <v>0</v>
      </c>
      <c r="CP18" s="242">
        <f t="shared" si="7"/>
        <v>0</v>
      </c>
      <c r="CQ18" s="242">
        <f t="shared" si="7"/>
        <v>0</v>
      </c>
      <c r="CR18" s="242">
        <f t="shared" si="7"/>
        <v>0</v>
      </c>
      <c r="CS18" s="242">
        <f t="shared" si="7"/>
        <v>0</v>
      </c>
      <c r="CT18" s="242">
        <f t="shared" si="7"/>
        <v>0</v>
      </c>
      <c r="CU18" s="242">
        <f t="shared" si="7"/>
        <v>0</v>
      </c>
      <c r="CV18" s="242">
        <f t="shared" si="7"/>
        <v>0</v>
      </c>
      <c r="CW18" s="242">
        <f t="shared" si="7"/>
        <v>0</v>
      </c>
      <c r="CX18" s="242">
        <f t="shared" si="7"/>
        <v>0</v>
      </c>
      <c r="CY18" s="242">
        <f t="shared" si="7"/>
        <v>0</v>
      </c>
      <c r="CZ18" s="242">
        <f t="shared" si="7"/>
        <v>0</v>
      </c>
      <c r="DA18" s="242">
        <f t="shared" si="7"/>
        <v>0</v>
      </c>
      <c r="DB18" s="242">
        <f t="shared" si="7"/>
        <v>0</v>
      </c>
      <c r="DC18" s="242">
        <f t="shared" si="7"/>
        <v>0</v>
      </c>
    </row>
    <row r="19" spans="2:107" ht="15" customHeight="1" x14ac:dyDescent="0.25">
      <c r="B19" s="515">
        <v>8</v>
      </c>
      <c r="C19" s="225" t="s">
        <v>4226</v>
      </c>
      <c r="D19" s="225"/>
      <c r="E19" s="231" t="s">
        <v>3854</v>
      </c>
      <c r="F19" s="232" t="s">
        <v>4227</v>
      </c>
      <c r="G19" s="554">
        <f>SUM(H19:DC19)</f>
        <v>0</v>
      </c>
      <c r="H19" s="241">
        <f>(H10*H13)/1000</f>
        <v>0</v>
      </c>
      <c r="I19" s="241">
        <f t="shared" ref="I19:BT19" si="8">(I10*I13)/1000</f>
        <v>0</v>
      </c>
      <c r="J19" s="241">
        <f t="shared" si="8"/>
        <v>0</v>
      </c>
      <c r="K19" s="241">
        <f t="shared" si="8"/>
        <v>0</v>
      </c>
      <c r="L19" s="241">
        <f t="shared" si="8"/>
        <v>0</v>
      </c>
      <c r="M19" s="241">
        <f t="shared" si="8"/>
        <v>0</v>
      </c>
      <c r="N19" s="241">
        <f t="shared" si="8"/>
        <v>0</v>
      </c>
      <c r="O19" s="241">
        <f t="shared" si="8"/>
        <v>0</v>
      </c>
      <c r="P19" s="241">
        <f t="shared" si="8"/>
        <v>0</v>
      </c>
      <c r="Q19" s="241">
        <f t="shared" si="8"/>
        <v>0</v>
      </c>
      <c r="R19" s="241">
        <f t="shared" si="8"/>
        <v>0</v>
      </c>
      <c r="S19" s="241">
        <f t="shared" si="8"/>
        <v>0</v>
      </c>
      <c r="T19" s="241">
        <f t="shared" si="8"/>
        <v>0</v>
      </c>
      <c r="U19" s="241">
        <f t="shared" si="8"/>
        <v>0</v>
      </c>
      <c r="V19" s="241">
        <f t="shared" si="8"/>
        <v>0</v>
      </c>
      <c r="W19" s="241">
        <f t="shared" si="8"/>
        <v>0</v>
      </c>
      <c r="X19" s="241">
        <f t="shared" si="8"/>
        <v>0</v>
      </c>
      <c r="Y19" s="241">
        <f t="shared" si="8"/>
        <v>0</v>
      </c>
      <c r="Z19" s="241">
        <f t="shared" si="8"/>
        <v>0</v>
      </c>
      <c r="AA19" s="241">
        <f t="shared" si="8"/>
        <v>0</v>
      </c>
      <c r="AB19" s="241">
        <f t="shared" si="8"/>
        <v>0</v>
      </c>
      <c r="AC19" s="241">
        <f t="shared" si="8"/>
        <v>0</v>
      </c>
      <c r="AD19" s="241">
        <f t="shared" si="8"/>
        <v>0</v>
      </c>
      <c r="AE19" s="241">
        <f t="shared" si="8"/>
        <v>0</v>
      </c>
      <c r="AF19" s="241">
        <f t="shared" si="8"/>
        <v>0</v>
      </c>
      <c r="AG19" s="241">
        <f t="shared" si="8"/>
        <v>0</v>
      </c>
      <c r="AH19" s="241">
        <f t="shared" si="8"/>
        <v>0</v>
      </c>
      <c r="AI19" s="241">
        <f t="shared" si="8"/>
        <v>0</v>
      </c>
      <c r="AJ19" s="241">
        <f t="shared" si="8"/>
        <v>0</v>
      </c>
      <c r="AK19" s="241">
        <f t="shared" si="8"/>
        <v>0</v>
      </c>
      <c r="AL19" s="241">
        <f t="shared" si="8"/>
        <v>0</v>
      </c>
      <c r="AM19" s="241">
        <f t="shared" si="8"/>
        <v>0</v>
      </c>
      <c r="AN19" s="241">
        <f t="shared" si="8"/>
        <v>0</v>
      </c>
      <c r="AO19" s="241">
        <f t="shared" si="8"/>
        <v>0</v>
      </c>
      <c r="AP19" s="241">
        <f t="shared" si="8"/>
        <v>0</v>
      </c>
      <c r="AQ19" s="241">
        <f t="shared" si="8"/>
        <v>0</v>
      </c>
      <c r="AR19" s="241">
        <f t="shared" si="8"/>
        <v>0</v>
      </c>
      <c r="AS19" s="241">
        <f t="shared" si="8"/>
        <v>0</v>
      </c>
      <c r="AT19" s="241">
        <f t="shared" si="8"/>
        <v>0</v>
      </c>
      <c r="AU19" s="241">
        <f t="shared" si="8"/>
        <v>0</v>
      </c>
      <c r="AV19" s="241">
        <f t="shared" si="8"/>
        <v>0</v>
      </c>
      <c r="AW19" s="241">
        <f t="shared" si="8"/>
        <v>0</v>
      </c>
      <c r="AX19" s="241">
        <f t="shared" si="8"/>
        <v>0</v>
      </c>
      <c r="AY19" s="241">
        <f t="shared" si="8"/>
        <v>0</v>
      </c>
      <c r="AZ19" s="241">
        <f t="shared" si="8"/>
        <v>0</v>
      </c>
      <c r="BA19" s="241">
        <f t="shared" si="8"/>
        <v>0</v>
      </c>
      <c r="BB19" s="241">
        <f t="shared" si="8"/>
        <v>0</v>
      </c>
      <c r="BC19" s="241">
        <f t="shared" si="8"/>
        <v>0</v>
      </c>
      <c r="BD19" s="241">
        <f t="shared" si="8"/>
        <v>0</v>
      </c>
      <c r="BE19" s="241">
        <f t="shared" si="8"/>
        <v>0</v>
      </c>
      <c r="BF19" s="241">
        <f t="shared" si="8"/>
        <v>0</v>
      </c>
      <c r="BG19" s="241">
        <f t="shared" si="8"/>
        <v>0</v>
      </c>
      <c r="BH19" s="241">
        <f t="shared" si="8"/>
        <v>0</v>
      </c>
      <c r="BI19" s="241">
        <f t="shared" si="8"/>
        <v>0</v>
      </c>
      <c r="BJ19" s="241">
        <f t="shared" si="8"/>
        <v>0</v>
      </c>
      <c r="BK19" s="241">
        <f t="shared" si="8"/>
        <v>0</v>
      </c>
      <c r="BL19" s="241">
        <f t="shared" si="8"/>
        <v>0</v>
      </c>
      <c r="BM19" s="241">
        <f t="shared" si="8"/>
        <v>0</v>
      </c>
      <c r="BN19" s="241">
        <f t="shared" si="8"/>
        <v>0</v>
      </c>
      <c r="BO19" s="241">
        <f t="shared" si="8"/>
        <v>0</v>
      </c>
      <c r="BP19" s="241">
        <f t="shared" si="8"/>
        <v>0</v>
      </c>
      <c r="BQ19" s="241">
        <f t="shared" si="8"/>
        <v>0</v>
      </c>
      <c r="BR19" s="241">
        <f t="shared" si="8"/>
        <v>0</v>
      </c>
      <c r="BS19" s="241">
        <f t="shared" si="8"/>
        <v>0</v>
      </c>
      <c r="BT19" s="241">
        <f t="shared" si="8"/>
        <v>0</v>
      </c>
      <c r="BU19" s="241">
        <f t="shared" ref="BU19:DC19" si="9">(BU10*BU13)/1000</f>
        <v>0</v>
      </c>
      <c r="BV19" s="241">
        <f t="shared" si="9"/>
        <v>0</v>
      </c>
      <c r="BW19" s="241">
        <f t="shared" si="9"/>
        <v>0</v>
      </c>
      <c r="BX19" s="241">
        <f t="shared" si="9"/>
        <v>0</v>
      </c>
      <c r="BY19" s="241">
        <f t="shared" si="9"/>
        <v>0</v>
      </c>
      <c r="BZ19" s="241">
        <f t="shared" si="9"/>
        <v>0</v>
      </c>
      <c r="CA19" s="241">
        <f t="shared" si="9"/>
        <v>0</v>
      </c>
      <c r="CB19" s="241">
        <f t="shared" si="9"/>
        <v>0</v>
      </c>
      <c r="CC19" s="241">
        <f t="shared" si="9"/>
        <v>0</v>
      </c>
      <c r="CD19" s="241">
        <f t="shared" si="9"/>
        <v>0</v>
      </c>
      <c r="CE19" s="241">
        <f t="shared" si="9"/>
        <v>0</v>
      </c>
      <c r="CF19" s="241">
        <f t="shared" si="9"/>
        <v>0</v>
      </c>
      <c r="CG19" s="241">
        <f t="shared" si="9"/>
        <v>0</v>
      </c>
      <c r="CH19" s="241">
        <f t="shared" si="9"/>
        <v>0</v>
      </c>
      <c r="CI19" s="241">
        <f t="shared" si="9"/>
        <v>0</v>
      </c>
      <c r="CJ19" s="241">
        <f t="shared" si="9"/>
        <v>0</v>
      </c>
      <c r="CK19" s="241">
        <f t="shared" si="9"/>
        <v>0</v>
      </c>
      <c r="CL19" s="241">
        <f t="shared" si="9"/>
        <v>0</v>
      </c>
      <c r="CM19" s="241">
        <f t="shared" si="9"/>
        <v>0</v>
      </c>
      <c r="CN19" s="241">
        <f t="shared" si="9"/>
        <v>0</v>
      </c>
      <c r="CO19" s="241">
        <f t="shared" si="9"/>
        <v>0</v>
      </c>
      <c r="CP19" s="241">
        <f t="shared" si="9"/>
        <v>0</v>
      </c>
      <c r="CQ19" s="241">
        <f t="shared" si="9"/>
        <v>0</v>
      </c>
      <c r="CR19" s="241">
        <f t="shared" si="9"/>
        <v>0</v>
      </c>
      <c r="CS19" s="241">
        <f t="shared" si="9"/>
        <v>0</v>
      </c>
      <c r="CT19" s="241">
        <f t="shared" si="9"/>
        <v>0</v>
      </c>
      <c r="CU19" s="241">
        <f t="shared" si="9"/>
        <v>0</v>
      </c>
      <c r="CV19" s="241">
        <f t="shared" si="9"/>
        <v>0</v>
      </c>
      <c r="CW19" s="241">
        <f t="shared" si="9"/>
        <v>0</v>
      </c>
      <c r="CX19" s="241">
        <f t="shared" si="9"/>
        <v>0</v>
      </c>
      <c r="CY19" s="241">
        <f t="shared" si="9"/>
        <v>0</v>
      </c>
      <c r="CZ19" s="241">
        <f t="shared" si="9"/>
        <v>0</v>
      </c>
      <c r="DA19" s="241">
        <f t="shared" si="9"/>
        <v>0</v>
      </c>
      <c r="DB19" s="241">
        <f t="shared" si="9"/>
        <v>0</v>
      </c>
      <c r="DC19" s="241">
        <f t="shared" si="9"/>
        <v>0</v>
      </c>
    </row>
    <row r="20" spans="2:107" ht="15" customHeight="1" x14ac:dyDescent="0.25">
      <c r="B20" s="515">
        <v>9</v>
      </c>
      <c r="C20" s="225" t="s">
        <v>4228</v>
      </c>
      <c r="D20" s="225"/>
      <c r="E20" s="226" t="s">
        <v>3857</v>
      </c>
      <c r="F20" s="232" t="s">
        <v>4229</v>
      </c>
      <c r="G20" s="243">
        <f>SUM(H20:DC20)</f>
        <v>0</v>
      </c>
      <c r="H20" s="244">
        <f>H10*H18</f>
        <v>0</v>
      </c>
      <c r="I20" s="244">
        <f t="shared" ref="I20:BT20" si="10">I10*I18</f>
        <v>0</v>
      </c>
      <c r="J20" s="244">
        <f t="shared" si="10"/>
        <v>0</v>
      </c>
      <c r="K20" s="244">
        <f t="shared" si="10"/>
        <v>0</v>
      </c>
      <c r="L20" s="244">
        <f t="shared" si="10"/>
        <v>0</v>
      </c>
      <c r="M20" s="244">
        <f t="shared" si="10"/>
        <v>0</v>
      </c>
      <c r="N20" s="244">
        <f t="shared" si="10"/>
        <v>0</v>
      </c>
      <c r="O20" s="244">
        <f t="shared" si="10"/>
        <v>0</v>
      </c>
      <c r="P20" s="244">
        <f t="shared" si="10"/>
        <v>0</v>
      </c>
      <c r="Q20" s="244">
        <f t="shared" si="10"/>
        <v>0</v>
      </c>
      <c r="R20" s="244">
        <f t="shared" si="10"/>
        <v>0</v>
      </c>
      <c r="S20" s="244">
        <f t="shared" si="10"/>
        <v>0</v>
      </c>
      <c r="T20" s="244">
        <f t="shared" si="10"/>
        <v>0</v>
      </c>
      <c r="U20" s="244">
        <f t="shared" si="10"/>
        <v>0</v>
      </c>
      <c r="V20" s="244">
        <f t="shared" si="10"/>
        <v>0</v>
      </c>
      <c r="W20" s="244">
        <f t="shared" si="10"/>
        <v>0</v>
      </c>
      <c r="X20" s="244">
        <f t="shared" si="10"/>
        <v>0</v>
      </c>
      <c r="Y20" s="244">
        <f t="shared" si="10"/>
        <v>0</v>
      </c>
      <c r="Z20" s="244">
        <f t="shared" si="10"/>
        <v>0</v>
      </c>
      <c r="AA20" s="244">
        <f t="shared" si="10"/>
        <v>0</v>
      </c>
      <c r="AB20" s="244">
        <f t="shared" si="10"/>
        <v>0</v>
      </c>
      <c r="AC20" s="244">
        <f t="shared" si="10"/>
        <v>0</v>
      </c>
      <c r="AD20" s="244">
        <f t="shared" si="10"/>
        <v>0</v>
      </c>
      <c r="AE20" s="244">
        <f t="shared" si="10"/>
        <v>0</v>
      </c>
      <c r="AF20" s="244">
        <f t="shared" si="10"/>
        <v>0</v>
      </c>
      <c r="AG20" s="244">
        <f t="shared" si="10"/>
        <v>0</v>
      </c>
      <c r="AH20" s="244">
        <f t="shared" si="10"/>
        <v>0</v>
      </c>
      <c r="AI20" s="244">
        <f t="shared" si="10"/>
        <v>0</v>
      </c>
      <c r="AJ20" s="244">
        <f t="shared" si="10"/>
        <v>0</v>
      </c>
      <c r="AK20" s="244">
        <f t="shared" si="10"/>
        <v>0</v>
      </c>
      <c r="AL20" s="244">
        <f t="shared" si="10"/>
        <v>0</v>
      </c>
      <c r="AM20" s="244">
        <f t="shared" si="10"/>
        <v>0</v>
      </c>
      <c r="AN20" s="244">
        <f t="shared" si="10"/>
        <v>0</v>
      </c>
      <c r="AO20" s="244">
        <f t="shared" si="10"/>
        <v>0</v>
      </c>
      <c r="AP20" s="244">
        <f t="shared" si="10"/>
        <v>0</v>
      </c>
      <c r="AQ20" s="244">
        <f t="shared" si="10"/>
        <v>0</v>
      </c>
      <c r="AR20" s="244">
        <f t="shared" si="10"/>
        <v>0</v>
      </c>
      <c r="AS20" s="244">
        <f t="shared" si="10"/>
        <v>0</v>
      </c>
      <c r="AT20" s="244">
        <f t="shared" si="10"/>
        <v>0</v>
      </c>
      <c r="AU20" s="244">
        <f t="shared" si="10"/>
        <v>0</v>
      </c>
      <c r="AV20" s="244">
        <f t="shared" si="10"/>
        <v>0</v>
      </c>
      <c r="AW20" s="244">
        <f t="shared" si="10"/>
        <v>0</v>
      </c>
      <c r="AX20" s="244">
        <f t="shared" si="10"/>
        <v>0</v>
      </c>
      <c r="AY20" s="244">
        <f t="shared" si="10"/>
        <v>0</v>
      </c>
      <c r="AZ20" s="244">
        <f t="shared" si="10"/>
        <v>0</v>
      </c>
      <c r="BA20" s="244">
        <f t="shared" si="10"/>
        <v>0</v>
      </c>
      <c r="BB20" s="244">
        <f t="shared" si="10"/>
        <v>0</v>
      </c>
      <c r="BC20" s="244">
        <f t="shared" si="10"/>
        <v>0</v>
      </c>
      <c r="BD20" s="244">
        <f t="shared" si="10"/>
        <v>0</v>
      </c>
      <c r="BE20" s="244">
        <f t="shared" si="10"/>
        <v>0</v>
      </c>
      <c r="BF20" s="244">
        <f t="shared" si="10"/>
        <v>0</v>
      </c>
      <c r="BG20" s="244">
        <f t="shared" si="10"/>
        <v>0</v>
      </c>
      <c r="BH20" s="244">
        <f t="shared" si="10"/>
        <v>0</v>
      </c>
      <c r="BI20" s="244">
        <f t="shared" si="10"/>
        <v>0</v>
      </c>
      <c r="BJ20" s="244">
        <f t="shared" si="10"/>
        <v>0</v>
      </c>
      <c r="BK20" s="244">
        <f t="shared" si="10"/>
        <v>0</v>
      </c>
      <c r="BL20" s="244">
        <f t="shared" si="10"/>
        <v>0</v>
      </c>
      <c r="BM20" s="244">
        <f t="shared" si="10"/>
        <v>0</v>
      </c>
      <c r="BN20" s="244">
        <f t="shared" si="10"/>
        <v>0</v>
      </c>
      <c r="BO20" s="244">
        <f t="shared" si="10"/>
        <v>0</v>
      </c>
      <c r="BP20" s="244">
        <f t="shared" si="10"/>
        <v>0</v>
      </c>
      <c r="BQ20" s="244">
        <f t="shared" si="10"/>
        <v>0</v>
      </c>
      <c r="BR20" s="244">
        <f t="shared" si="10"/>
        <v>0</v>
      </c>
      <c r="BS20" s="244">
        <f t="shared" si="10"/>
        <v>0</v>
      </c>
      <c r="BT20" s="244">
        <f t="shared" si="10"/>
        <v>0</v>
      </c>
      <c r="BU20" s="244">
        <f t="shared" ref="BU20:DC20" si="11">BU10*BU18</f>
        <v>0</v>
      </c>
      <c r="BV20" s="244">
        <f t="shared" si="11"/>
        <v>0</v>
      </c>
      <c r="BW20" s="244">
        <f t="shared" si="11"/>
        <v>0</v>
      </c>
      <c r="BX20" s="244">
        <f t="shared" si="11"/>
        <v>0</v>
      </c>
      <c r="BY20" s="244">
        <f t="shared" si="11"/>
        <v>0</v>
      </c>
      <c r="BZ20" s="244">
        <f t="shared" si="11"/>
        <v>0</v>
      </c>
      <c r="CA20" s="244">
        <f t="shared" si="11"/>
        <v>0</v>
      </c>
      <c r="CB20" s="244">
        <f t="shared" si="11"/>
        <v>0</v>
      </c>
      <c r="CC20" s="244">
        <f t="shared" si="11"/>
        <v>0</v>
      </c>
      <c r="CD20" s="244">
        <f t="shared" si="11"/>
        <v>0</v>
      </c>
      <c r="CE20" s="244">
        <f t="shared" si="11"/>
        <v>0</v>
      </c>
      <c r="CF20" s="244">
        <f t="shared" si="11"/>
        <v>0</v>
      </c>
      <c r="CG20" s="244">
        <f t="shared" si="11"/>
        <v>0</v>
      </c>
      <c r="CH20" s="244">
        <f t="shared" si="11"/>
        <v>0</v>
      </c>
      <c r="CI20" s="244">
        <f t="shared" si="11"/>
        <v>0</v>
      </c>
      <c r="CJ20" s="244">
        <f t="shared" si="11"/>
        <v>0</v>
      </c>
      <c r="CK20" s="244">
        <f t="shared" si="11"/>
        <v>0</v>
      </c>
      <c r="CL20" s="244">
        <f t="shared" si="11"/>
        <v>0</v>
      </c>
      <c r="CM20" s="244">
        <f t="shared" si="11"/>
        <v>0</v>
      </c>
      <c r="CN20" s="244">
        <f t="shared" si="11"/>
        <v>0</v>
      </c>
      <c r="CO20" s="244">
        <f t="shared" si="11"/>
        <v>0</v>
      </c>
      <c r="CP20" s="244">
        <f t="shared" si="11"/>
        <v>0</v>
      </c>
      <c r="CQ20" s="244">
        <f t="shared" si="11"/>
        <v>0</v>
      </c>
      <c r="CR20" s="244">
        <f t="shared" si="11"/>
        <v>0</v>
      </c>
      <c r="CS20" s="244">
        <f t="shared" si="11"/>
        <v>0</v>
      </c>
      <c r="CT20" s="244">
        <f t="shared" si="11"/>
        <v>0</v>
      </c>
      <c r="CU20" s="244">
        <f t="shared" si="11"/>
        <v>0</v>
      </c>
      <c r="CV20" s="244">
        <f t="shared" si="11"/>
        <v>0</v>
      </c>
      <c r="CW20" s="244">
        <f t="shared" si="11"/>
        <v>0</v>
      </c>
      <c r="CX20" s="244">
        <f t="shared" si="11"/>
        <v>0</v>
      </c>
      <c r="CY20" s="244">
        <f t="shared" si="11"/>
        <v>0</v>
      </c>
      <c r="CZ20" s="244">
        <f t="shared" si="11"/>
        <v>0</v>
      </c>
      <c r="DA20" s="244">
        <f t="shared" si="11"/>
        <v>0</v>
      </c>
      <c r="DB20" s="244">
        <f t="shared" si="11"/>
        <v>0</v>
      </c>
      <c r="DC20" s="244">
        <f t="shared" si="11"/>
        <v>0</v>
      </c>
    </row>
    <row r="22" spans="2:107" ht="15" customHeight="1" x14ac:dyDescent="0.25">
      <c r="B22" s="649" t="s">
        <v>4230</v>
      </c>
      <c r="C22" s="650"/>
      <c r="D22" s="650"/>
      <c r="E22" s="650"/>
      <c r="F22" s="65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</row>
    <row r="23" spans="2:107" s="103" customFormat="1" ht="15" customHeight="1" x14ac:dyDescent="0.25">
      <c r="B23" s="515"/>
      <c r="C23" s="516"/>
      <c r="D23" s="516"/>
      <c r="E23" s="516"/>
      <c r="F23" s="245"/>
      <c r="G23" s="223" t="s">
        <v>76</v>
      </c>
      <c r="H23" s="224" t="s">
        <v>4095</v>
      </c>
      <c r="I23" s="224" t="s">
        <v>4096</v>
      </c>
      <c r="J23" s="224" t="s">
        <v>4097</v>
      </c>
      <c r="K23" s="224" t="s">
        <v>4098</v>
      </c>
      <c r="L23" s="224" t="s">
        <v>4099</v>
      </c>
      <c r="M23" s="224" t="s">
        <v>4100</v>
      </c>
      <c r="N23" s="224" t="s">
        <v>4101</v>
      </c>
      <c r="O23" s="224" t="s">
        <v>4102</v>
      </c>
      <c r="P23" s="224" t="s">
        <v>4103</v>
      </c>
      <c r="Q23" s="224" t="s">
        <v>4104</v>
      </c>
      <c r="R23" s="224" t="s">
        <v>4105</v>
      </c>
      <c r="S23" s="224" t="s">
        <v>4106</v>
      </c>
      <c r="T23" s="224" t="s">
        <v>4107</v>
      </c>
      <c r="U23" s="224" t="s">
        <v>4108</v>
      </c>
      <c r="V23" s="224" t="s">
        <v>4109</v>
      </c>
      <c r="W23" s="224" t="s">
        <v>4110</v>
      </c>
      <c r="X23" s="224" t="s">
        <v>4111</v>
      </c>
      <c r="Y23" s="224" t="s">
        <v>4112</v>
      </c>
      <c r="Z23" s="224" t="s">
        <v>4113</v>
      </c>
      <c r="AA23" s="224" t="s">
        <v>4114</v>
      </c>
      <c r="AB23" s="224" t="s">
        <v>4115</v>
      </c>
      <c r="AC23" s="224" t="s">
        <v>4116</v>
      </c>
      <c r="AD23" s="224" t="s">
        <v>4117</v>
      </c>
      <c r="AE23" s="224" t="s">
        <v>4118</v>
      </c>
      <c r="AF23" s="224" t="s">
        <v>4119</v>
      </c>
      <c r="AG23" s="224" t="s">
        <v>4120</v>
      </c>
      <c r="AH23" s="224" t="s">
        <v>4121</v>
      </c>
      <c r="AI23" s="224" t="s">
        <v>4122</v>
      </c>
      <c r="AJ23" s="224" t="s">
        <v>4123</v>
      </c>
      <c r="AK23" s="224" t="s">
        <v>4124</v>
      </c>
      <c r="AL23" s="224" t="s">
        <v>4125</v>
      </c>
      <c r="AM23" s="224" t="s">
        <v>4126</v>
      </c>
      <c r="AN23" s="224" t="s">
        <v>4127</v>
      </c>
      <c r="AO23" s="224" t="s">
        <v>4128</v>
      </c>
      <c r="AP23" s="224" t="s">
        <v>4129</v>
      </c>
      <c r="AQ23" s="224" t="s">
        <v>4130</v>
      </c>
      <c r="AR23" s="224" t="s">
        <v>4131</v>
      </c>
      <c r="AS23" s="224" t="s">
        <v>4132</v>
      </c>
      <c r="AT23" s="224" t="s">
        <v>4133</v>
      </c>
      <c r="AU23" s="224" t="s">
        <v>4134</v>
      </c>
      <c r="AV23" s="224" t="s">
        <v>4135</v>
      </c>
      <c r="AW23" s="224" t="s">
        <v>4136</v>
      </c>
      <c r="AX23" s="224" t="s">
        <v>4137</v>
      </c>
      <c r="AY23" s="224" t="s">
        <v>4138</v>
      </c>
      <c r="AZ23" s="224" t="s">
        <v>4139</v>
      </c>
      <c r="BA23" s="224" t="s">
        <v>4140</v>
      </c>
      <c r="BB23" s="224" t="s">
        <v>4141</v>
      </c>
      <c r="BC23" s="224" t="s">
        <v>4142</v>
      </c>
      <c r="BD23" s="224" t="s">
        <v>4143</v>
      </c>
      <c r="BE23" s="224" t="s">
        <v>4144</v>
      </c>
      <c r="BF23" s="224" t="s">
        <v>4145</v>
      </c>
      <c r="BG23" s="224" t="s">
        <v>4146</v>
      </c>
      <c r="BH23" s="224" t="s">
        <v>4147</v>
      </c>
      <c r="BI23" s="224" t="s">
        <v>4148</v>
      </c>
      <c r="BJ23" s="224" t="s">
        <v>4149</v>
      </c>
      <c r="BK23" s="224" t="s">
        <v>4150</v>
      </c>
      <c r="BL23" s="224" t="s">
        <v>4151</v>
      </c>
      <c r="BM23" s="224" t="s">
        <v>4152</v>
      </c>
      <c r="BN23" s="224" t="s">
        <v>4153</v>
      </c>
      <c r="BO23" s="224" t="s">
        <v>4154</v>
      </c>
      <c r="BP23" s="224" t="s">
        <v>4155</v>
      </c>
      <c r="BQ23" s="224" t="s">
        <v>4156</v>
      </c>
      <c r="BR23" s="224" t="s">
        <v>4157</v>
      </c>
      <c r="BS23" s="224" t="s">
        <v>4158</v>
      </c>
      <c r="BT23" s="224" t="s">
        <v>4159</v>
      </c>
      <c r="BU23" s="224" t="s">
        <v>4160</v>
      </c>
      <c r="BV23" s="224" t="s">
        <v>4161</v>
      </c>
      <c r="BW23" s="224" t="s">
        <v>4162</v>
      </c>
      <c r="BX23" s="224" t="s">
        <v>4163</v>
      </c>
      <c r="BY23" s="224" t="s">
        <v>4164</v>
      </c>
      <c r="BZ23" s="224" t="s">
        <v>4165</v>
      </c>
      <c r="CA23" s="224" t="s">
        <v>4166</v>
      </c>
      <c r="CB23" s="224" t="s">
        <v>4167</v>
      </c>
      <c r="CC23" s="224" t="s">
        <v>4168</v>
      </c>
      <c r="CD23" s="224" t="s">
        <v>4169</v>
      </c>
      <c r="CE23" s="224" t="s">
        <v>4170</v>
      </c>
      <c r="CF23" s="224" t="s">
        <v>4171</v>
      </c>
      <c r="CG23" s="224" t="s">
        <v>4172</v>
      </c>
      <c r="CH23" s="224" t="s">
        <v>4173</v>
      </c>
      <c r="CI23" s="224" t="s">
        <v>4174</v>
      </c>
      <c r="CJ23" s="224" t="s">
        <v>4175</v>
      </c>
      <c r="CK23" s="224" t="s">
        <v>4176</v>
      </c>
      <c r="CL23" s="224" t="s">
        <v>4177</v>
      </c>
      <c r="CM23" s="224" t="s">
        <v>4178</v>
      </c>
      <c r="CN23" s="224" t="s">
        <v>4179</v>
      </c>
      <c r="CO23" s="224" t="s">
        <v>4180</v>
      </c>
      <c r="CP23" s="224" t="s">
        <v>4181</v>
      </c>
      <c r="CQ23" s="224" t="s">
        <v>4182</v>
      </c>
      <c r="CR23" s="224" t="s">
        <v>4183</v>
      </c>
      <c r="CS23" s="224" t="s">
        <v>4184</v>
      </c>
      <c r="CT23" s="224" t="s">
        <v>4185</v>
      </c>
      <c r="CU23" s="224" t="s">
        <v>4186</v>
      </c>
      <c r="CV23" s="224" t="s">
        <v>4187</v>
      </c>
      <c r="CW23" s="224" t="s">
        <v>4188</v>
      </c>
      <c r="CX23" s="224" t="s">
        <v>4189</v>
      </c>
      <c r="CY23" s="224" t="s">
        <v>4190</v>
      </c>
      <c r="CZ23" s="224" t="s">
        <v>4191</v>
      </c>
      <c r="DA23" s="224" t="s">
        <v>4192</v>
      </c>
      <c r="DB23" s="224" t="s">
        <v>4193</v>
      </c>
      <c r="DC23" s="224" t="s">
        <v>4194</v>
      </c>
    </row>
    <row r="24" spans="2:107" s="103" customFormat="1" ht="15" customHeight="1" x14ac:dyDescent="0.25">
      <c r="B24" s="515">
        <v>10</v>
      </c>
      <c r="C24" s="307" t="s">
        <v>4195</v>
      </c>
      <c r="D24" s="516"/>
      <c r="E24" s="516"/>
      <c r="F24" s="245"/>
      <c r="G24" s="223"/>
      <c r="H24" s="224" t="str">
        <f>IF(H4="","",H4)</f>
        <v/>
      </c>
      <c r="I24" s="224" t="str">
        <f t="shared" ref="I24:BT24" si="12">IF(I4="","",I4)</f>
        <v/>
      </c>
      <c r="J24" s="224" t="str">
        <f t="shared" si="12"/>
        <v/>
      </c>
      <c r="K24" s="224" t="str">
        <f t="shared" si="12"/>
        <v/>
      </c>
      <c r="L24" s="224" t="str">
        <f t="shared" si="12"/>
        <v/>
      </c>
      <c r="M24" s="224" t="str">
        <f t="shared" si="12"/>
        <v/>
      </c>
      <c r="N24" s="224" t="str">
        <f t="shared" si="12"/>
        <v/>
      </c>
      <c r="O24" s="224" t="str">
        <f t="shared" si="12"/>
        <v/>
      </c>
      <c r="P24" s="224" t="str">
        <f t="shared" si="12"/>
        <v/>
      </c>
      <c r="Q24" s="224" t="str">
        <f t="shared" si="12"/>
        <v/>
      </c>
      <c r="R24" s="224" t="str">
        <f t="shared" si="12"/>
        <v/>
      </c>
      <c r="S24" s="224" t="str">
        <f t="shared" si="12"/>
        <v/>
      </c>
      <c r="T24" s="224" t="str">
        <f t="shared" si="12"/>
        <v/>
      </c>
      <c r="U24" s="224" t="str">
        <f t="shared" si="12"/>
        <v/>
      </c>
      <c r="V24" s="224" t="str">
        <f t="shared" si="12"/>
        <v/>
      </c>
      <c r="W24" s="224" t="str">
        <f t="shared" si="12"/>
        <v/>
      </c>
      <c r="X24" s="224" t="str">
        <f t="shared" si="12"/>
        <v/>
      </c>
      <c r="Y24" s="224" t="str">
        <f t="shared" si="12"/>
        <v/>
      </c>
      <c r="Z24" s="224" t="str">
        <f t="shared" si="12"/>
        <v/>
      </c>
      <c r="AA24" s="224" t="str">
        <f t="shared" si="12"/>
        <v/>
      </c>
      <c r="AB24" s="224" t="str">
        <f t="shared" si="12"/>
        <v/>
      </c>
      <c r="AC24" s="224" t="str">
        <f t="shared" si="12"/>
        <v/>
      </c>
      <c r="AD24" s="224" t="str">
        <f t="shared" si="12"/>
        <v/>
      </c>
      <c r="AE24" s="224" t="str">
        <f t="shared" si="12"/>
        <v/>
      </c>
      <c r="AF24" s="224" t="str">
        <f t="shared" si="12"/>
        <v/>
      </c>
      <c r="AG24" s="224" t="str">
        <f t="shared" si="12"/>
        <v/>
      </c>
      <c r="AH24" s="224" t="str">
        <f t="shared" si="12"/>
        <v/>
      </c>
      <c r="AI24" s="224" t="str">
        <f t="shared" si="12"/>
        <v/>
      </c>
      <c r="AJ24" s="224" t="str">
        <f t="shared" si="12"/>
        <v/>
      </c>
      <c r="AK24" s="224" t="str">
        <f t="shared" si="12"/>
        <v/>
      </c>
      <c r="AL24" s="224" t="str">
        <f t="shared" si="12"/>
        <v/>
      </c>
      <c r="AM24" s="224" t="str">
        <f t="shared" si="12"/>
        <v/>
      </c>
      <c r="AN24" s="224" t="str">
        <f t="shared" si="12"/>
        <v/>
      </c>
      <c r="AO24" s="224" t="str">
        <f t="shared" si="12"/>
        <v/>
      </c>
      <c r="AP24" s="224" t="str">
        <f t="shared" si="12"/>
        <v/>
      </c>
      <c r="AQ24" s="224" t="str">
        <f t="shared" si="12"/>
        <v/>
      </c>
      <c r="AR24" s="224" t="str">
        <f t="shared" si="12"/>
        <v/>
      </c>
      <c r="AS24" s="224" t="str">
        <f t="shared" si="12"/>
        <v/>
      </c>
      <c r="AT24" s="224" t="str">
        <f t="shared" si="12"/>
        <v/>
      </c>
      <c r="AU24" s="224" t="str">
        <f t="shared" si="12"/>
        <v/>
      </c>
      <c r="AV24" s="224" t="str">
        <f t="shared" si="12"/>
        <v/>
      </c>
      <c r="AW24" s="224" t="str">
        <f t="shared" si="12"/>
        <v/>
      </c>
      <c r="AX24" s="224" t="str">
        <f t="shared" si="12"/>
        <v/>
      </c>
      <c r="AY24" s="224" t="str">
        <f t="shared" si="12"/>
        <v/>
      </c>
      <c r="AZ24" s="224" t="str">
        <f t="shared" si="12"/>
        <v/>
      </c>
      <c r="BA24" s="224" t="str">
        <f t="shared" si="12"/>
        <v/>
      </c>
      <c r="BB24" s="224" t="str">
        <f t="shared" si="12"/>
        <v/>
      </c>
      <c r="BC24" s="224" t="str">
        <f t="shared" si="12"/>
        <v/>
      </c>
      <c r="BD24" s="224" t="str">
        <f t="shared" si="12"/>
        <v/>
      </c>
      <c r="BE24" s="224" t="str">
        <f t="shared" si="12"/>
        <v/>
      </c>
      <c r="BF24" s="224" t="str">
        <f t="shared" si="12"/>
        <v/>
      </c>
      <c r="BG24" s="224" t="str">
        <f t="shared" si="12"/>
        <v/>
      </c>
      <c r="BH24" s="224" t="str">
        <f t="shared" si="12"/>
        <v/>
      </c>
      <c r="BI24" s="224" t="str">
        <f t="shared" si="12"/>
        <v/>
      </c>
      <c r="BJ24" s="224" t="str">
        <f t="shared" si="12"/>
        <v/>
      </c>
      <c r="BK24" s="224" t="str">
        <f t="shared" si="12"/>
        <v/>
      </c>
      <c r="BL24" s="224" t="str">
        <f t="shared" si="12"/>
        <v/>
      </c>
      <c r="BM24" s="224" t="str">
        <f t="shared" si="12"/>
        <v/>
      </c>
      <c r="BN24" s="224" t="str">
        <f t="shared" si="12"/>
        <v/>
      </c>
      <c r="BO24" s="224" t="str">
        <f t="shared" si="12"/>
        <v/>
      </c>
      <c r="BP24" s="224" t="str">
        <f t="shared" si="12"/>
        <v/>
      </c>
      <c r="BQ24" s="224" t="str">
        <f t="shared" si="12"/>
        <v/>
      </c>
      <c r="BR24" s="224" t="str">
        <f t="shared" si="12"/>
        <v/>
      </c>
      <c r="BS24" s="224" t="str">
        <f t="shared" si="12"/>
        <v/>
      </c>
      <c r="BT24" s="224" t="str">
        <f t="shared" si="12"/>
        <v/>
      </c>
      <c r="BU24" s="224" t="str">
        <f t="shared" ref="BU24:DC24" si="13">IF(BU4="","",BU4)</f>
        <v/>
      </c>
      <c r="BV24" s="224" t="str">
        <f t="shared" si="13"/>
        <v/>
      </c>
      <c r="BW24" s="224" t="str">
        <f t="shared" si="13"/>
        <v/>
      </c>
      <c r="BX24" s="224" t="str">
        <f t="shared" si="13"/>
        <v/>
      </c>
      <c r="BY24" s="224" t="str">
        <f t="shared" si="13"/>
        <v/>
      </c>
      <c r="BZ24" s="224" t="str">
        <f t="shared" si="13"/>
        <v/>
      </c>
      <c r="CA24" s="224" t="str">
        <f t="shared" si="13"/>
        <v/>
      </c>
      <c r="CB24" s="224" t="str">
        <f t="shared" si="13"/>
        <v/>
      </c>
      <c r="CC24" s="224" t="str">
        <f t="shared" si="13"/>
        <v/>
      </c>
      <c r="CD24" s="224" t="str">
        <f t="shared" si="13"/>
        <v/>
      </c>
      <c r="CE24" s="224" t="str">
        <f t="shared" si="13"/>
        <v/>
      </c>
      <c r="CF24" s="224" t="str">
        <f t="shared" si="13"/>
        <v/>
      </c>
      <c r="CG24" s="224" t="str">
        <f t="shared" si="13"/>
        <v/>
      </c>
      <c r="CH24" s="224" t="str">
        <f t="shared" si="13"/>
        <v/>
      </c>
      <c r="CI24" s="224" t="str">
        <f t="shared" si="13"/>
        <v/>
      </c>
      <c r="CJ24" s="224" t="str">
        <f t="shared" si="13"/>
        <v/>
      </c>
      <c r="CK24" s="224" t="str">
        <f t="shared" si="13"/>
        <v/>
      </c>
      <c r="CL24" s="224" t="str">
        <f t="shared" si="13"/>
        <v/>
      </c>
      <c r="CM24" s="224" t="str">
        <f t="shared" si="13"/>
        <v/>
      </c>
      <c r="CN24" s="224" t="str">
        <f t="shared" si="13"/>
        <v/>
      </c>
      <c r="CO24" s="224" t="str">
        <f t="shared" si="13"/>
        <v/>
      </c>
      <c r="CP24" s="224" t="str">
        <f t="shared" si="13"/>
        <v/>
      </c>
      <c r="CQ24" s="224" t="str">
        <f t="shared" si="13"/>
        <v/>
      </c>
      <c r="CR24" s="224" t="str">
        <f t="shared" si="13"/>
        <v/>
      </c>
      <c r="CS24" s="224" t="str">
        <f t="shared" si="13"/>
        <v/>
      </c>
      <c r="CT24" s="224" t="str">
        <f t="shared" si="13"/>
        <v/>
      </c>
      <c r="CU24" s="224" t="str">
        <f t="shared" si="13"/>
        <v/>
      </c>
      <c r="CV24" s="224" t="str">
        <f t="shared" si="13"/>
        <v/>
      </c>
      <c r="CW24" s="224" t="str">
        <f t="shared" si="13"/>
        <v/>
      </c>
      <c r="CX24" s="224" t="str">
        <f t="shared" si="13"/>
        <v/>
      </c>
      <c r="CY24" s="224" t="str">
        <f t="shared" si="13"/>
        <v/>
      </c>
      <c r="CZ24" s="224" t="str">
        <f t="shared" si="13"/>
        <v/>
      </c>
      <c r="DA24" s="224" t="str">
        <f t="shared" si="13"/>
        <v/>
      </c>
      <c r="DB24" s="224" t="str">
        <f t="shared" si="13"/>
        <v/>
      </c>
      <c r="DC24" s="224" t="str">
        <f t="shared" si="13"/>
        <v/>
      </c>
    </row>
    <row r="25" spans="2:107" ht="15" customHeight="1" x14ac:dyDescent="0.25">
      <c r="B25" s="515">
        <v>11</v>
      </c>
      <c r="C25" s="225" t="s">
        <v>4196</v>
      </c>
      <c r="D25" s="225"/>
      <c r="E25" s="226"/>
      <c r="F25" s="246"/>
      <c r="G25" s="228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</row>
    <row r="26" spans="2:107" ht="15" customHeight="1" x14ac:dyDescent="0.25">
      <c r="B26" s="515">
        <v>12</v>
      </c>
      <c r="C26" s="903" t="s">
        <v>4197</v>
      </c>
      <c r="D26" s="230" t="s">
        <v>4198</v>
      </c>
      <c r="E26" s="231" t="s">
        <v>4199</v>
      </c>
      <c r="F26" s="232" t="s">
        <v>4231</v>
      </c>
      <c r="G26" s="233">
        <f>SUM(H26:DC26)</f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</row>
    <row r="27" spans="2:107" ht="15" customHeight="1" x14ac:dyDescent="0.25">
      <c r="B27" s="515">
        <v>13</v>
      </c>
      <c r="C27" s="904"/>
      <c r="D27" s="230" t="s">
        <v>3980</v>
      </c>
      <c r="E27" s="231"/>
      <c r="F27" s="232" t="s">
        <v>4232</v>
      </c>
      <c r="G27" s="235">
        <f>SUM(H27:DC27)</f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</row>
    <row r="28" spans="2:107" ht="15" customHeight="1" x14ac:dyDescent="0.25">
      <c r="B28" s="515">
        <v>14</v>
      </c>
      <c r="C28" s="225" t="s">
        <v>4205</v>
      </c>
      <c r="D28" s="225"/>
      <c r="E28" s="231" t="s">
        <v>3857</v>
      </c>
      <c r="F28" s="232" t="s">
        <v>4233</v>
      </c>
      <c r="G28" s="233">
        <f>SUM(H28:DC28)</f>
        <v>0</v>
      </c>
      <c r="H28" s="236">
        <f>(H26*H27)/1000</f>
        <v>0</v>
      </c>
      <c r="I28" s="236">
        <f t="shared" ref="I28:BT28" si="14">(I26*I27)/1000</f>
        <v>0</v>
      </c>
      <c r="J28" s="236">
        <f t="shared" si="14"/>
        <v>0</v>
      </c>
      <c r="K28" s="236">
        <f t="shared" si="14"/>
        <v>0</v>
      </c>
      <c r="L28" s="236">
        <f t="shared" si="14"/>
        <v>0</v>
      </c>
      <c r="M28" s="236">
        <f t="shared" si="14"/>
        <v>0</v>
      </c>
      <c r="N28" s="236">
        <f t="shared" si="14"/>
        <v>0</v>
      </c>
      <c r="O28" s="236">
        <f t="shared" si="14"/>
        <v>0</v>
      </c>
      <c r="P28" s="236">
        <f t="shared" si="14"/>
        <v>0</v>
      </c>
      <c r="Q28" s="236">
        <f t="shared" si="14"/>
        <v>0</v>
      </c>
      <c r="R28" s="236">
        <f t="shared" si="14"/>
        <v>0</v>
      </c>
      <c r="S28" s="236">
        <f t="shared" si="14"/>
        <v>0</v>
      </c>
      <c r="T28" s="236">
        <f t="shared" si="14"/>
        <v>0</v>
      </c>
      <c r="U28" s="236">
        <f t="shared" si="14"/>
        <v>0</v>
      </c>
      <c r="V28" s="236">
        <f t="shared" si="14"/>
        <v>0</v>
      </c>
      <c r="W28" s="236">
        <f t="shared" si="14"/>
        <v>0</v>
      </c>
      <c r="X28" s="236">
        <f t="shared" si="14"/>
        <v>0</v>
      </c>
      <c r="Y28" s="236">
        <f t="shared" si="14"/>
        <v>0</v>
      </c>
      <c r="Z28" s="236">
        <f t="shared" si="14"/>
        <v>0</v>
      </c>
      <c r="AA28" s="236">
        <f t="shared" si="14"/>
        <v>0</v>
      </c>
      <c r="AB28" s="236">
        <f t="shared" si="14"/>
        <v>0</v>
      </c>
      <c r="AC28" s="236">
        <f t="shared" si="14"/>
        <v>0</v>
      </c>
      <c r="AD28" s="236">
        <f t="shared" si="14"/>
        <v>0</v>
      </c>
      <c r="AE28" s="236">
        <f t="shared" si="14"/>
        <v>0</v>
      </c>
      <c r="AF28" s="236">
        <f t="shared" si="14"/>
        <v>0</v>
      </c>
      <c r="AG28" s="236">
        <f t="shared" si="14"/>
        <v>0</v>
      </c>
      <c r="AH28" s="236">
        <f t="shared" si="14"/>
        <v>0</v>
      </c>
      <c r="AI28" s="236">
        <f t="shared" si="14"/>
        <v>0</v>
      </c>
      <c r="AJ28" s="236">
        <f t="shared" si="14"/>
        <v>0</v>
      </c>
      <c r="AK28" s="236">
        <f t="shared" si="14"/>
        <v>0</v>
      </c>
      <c r="AL28" s="236">
        <f t="shared" si="14"/>
        <v>0</v>
      </c>
      <c r="AM28" s="236">
        <f t="shared" si="14"/>
        <v>0</v>
      </c>
      <c r="AN28" s="236">
        <f t="shared" si="14"/>
        <v>0</v>
      </c>
      <c r="AO28" s="236">
        <f t="shared" si="14"/>
        <v>0</v>
      </c>
      <c r="AP28" s="236">
        <f t="shared" si="14"/>
        <v>0</v>
      </c>
      <c r="AQ28" s="236">
        <f t="shared" si="14"/>
        <v>0</v>
      </c>
      <c r="AR28" s="236">
        <f t="shared" si="14"/>
        <v>0</v>
      </c>
      <c r="AS28" s="236">
        <f t="shared" si="14"/>
        <v>0</v>
      </c>
      <c r="AT28" s="236">
        <f t="shared" si="14"/>
        <v>0</v>
      </c>
      <c r="AU28" s="236">
        <f t="shared" si="14"/>
        <v>0</v>
      </c>
      <c r="AV28" s="236">
        <f t="shared" si="14"/>
        <v>0</v>
      </c>
      <c r="AW28" s="236">
        <f t="shared" si="14"/>
        <v>0</v>
      </c>
      <c r="AX28" s="236">
        <f t="shared" si="14"/>
        <v>0</v>
      </c>
      <c r="AY28" s="236">
        <f t="shared" si="14"/>
        <v>0</v>
      </c>
      <c r="AZ28" s="236">
        <f t="shared" si="14"/>
        <v>0</v>
      </c>
      <c r="BA28" s="236">
        <f t="shared" si="14"/>
        <v>0</v>
      </c>
      <c r="BB28" s="236">
        <f t="shared" si="14"/>
        <v>0</v>
      </c>
      <c r="BC28" s="236">
        <f t="shared" si="14"/>
        <v>0</v>
      </c>
      <c r="BD28" s="236">
        <f t="shared" si="14"/>
        <v>0</v>
      </c>
      <c r="BE28" s="236">
        <f t="shared" si="14"/>
        <v>0</v>
      </c>
      <c r="BF28" s="236">
        <f t="shared" si="14"/>
        <v>0</v>
      </c>
      <c r="BG28" s="236">
        <f t="shared" si="14"/>
        <v>0</v>
      </c>
      <c r="BH28" s="236">
        <f t="shared" si="14"/>
        <v>0</v>
      </c>
      <c r="BI28" s="236">
        <f t="shared" si="14"/>
        <v>0</v>
      </c>
      <c r="BJ28" s="236">
        <f t="shared" si="14"/>
        <v>0</v>
      </c>
      <c r="BK28" s="236">
        <f t="shared" si="14"/>
        <v>0</v>
      </c>
      <c r="BL28" s="236">
        <f t="shared" si="14"/>
        <v>0</v>
      </c>
      <c r="BM28" s="236">
        <f t="shared" si="14"/>
        <v>0</v>
      </c>
      <c r="BN28" s="236">
        <f t="shared" si="14"/>
        <v>0</v>
      </c>
      <c r="BO28" s="236">
        <f t="shared" si="14"/>
        <v>0</v>
      </c>
      <c r="BP28" s="236">
        <f t="shared" si="14"/>
        <v>0</v>
      </c>
      <c r="BQ28" s="236">
        <f t="shared" si="14"/>
        <v>0</v>
      </c>
      <c r="BR28" s="236">
        <f t="shared" si="14"/>
        <v>0</v>
      </c>
      <c r="BS28" s="236">
        <f t="shared" si="14"/>
        <v>0</v>
      </c>
      <c r="BT28" s="236">
        <f t="shared" si="14"/>
        <v>0</v>
      </c>
      <c r="BU28" s="236">
        <f t="shared" ref="BU28:DC28" si="15">(BU26*BU27)/1000</f>
        <v>0</v>
      </c>
      <c r="BV28" s="236">
        <f t="shared" si="15"/>
        <v>0</v>
      </c>
      <c r="BW28" s="236">
        <f t="shared" si="15"/>
        <v>0</v>
      </c>
      <c r="BX28" s="236">
        <f t="shared" si="15"/>
        <v>0</v>
      </c>
      <c r="BY28" s="236">
        <f t="shared" si="15"/>
        <v>0</v>
      </c>
      <c r="BZ28" s="236">
        <f t="shared" si="15"/>
        <v>0</v>
      </c>
      <c r="CA28" s="236">
        <f t="shared" si="15"/>
        <v>0</v>
      </c>
      <c r="CB28" s="236">
        <f t="shared" si="15"/>
        <v>0</v>
      </c>
      <c r="CC28" s="236">
        <f t="shared" si="15"/>
        <v>0</v>
      </c>
      <c r="CD28" s="236">
        <f t="shared" si="15"/>
        <v>0</v>
      </c>
      <c r="CE28" s="236">
        <f t="shared" si="15"/>
        <v>0</v>
      </c>
      <c r="CF28" s="236">
        <f t="shared" si="15"/>
        <v>0</v>
      </c>
      <c r="CG28" s="236">
        <f t="shared" si="15"/>
        <v>0</v>
      </c>
      <c r="CH28" s="236">
        <f t="shared" si="15"/>
        <v>0</v>
      </c>
      <c r="CI28" s="236">
        <f t="shared" si="15"/>
        <v>0</v>
      </c>
      <c r="CJ28" s="236">
        <f t="shared" si="15"/>
        <v>0</v>
      </c>
      <c r="CK28" s="236">
        <f t="shared" si="15"/>
        <v>0</v>
      </c>
      <c r="CL28" s="236">
        <f t="shared" si="15"/>
        <v>0</v>
      </c>
      <c r="CM28" s="236">
        <f t="shared" si="15"/>
        <v>0</v>
      </c>
      <c r="CN28" s="236">
        <f t="shared" si="15"/>
        <v>0</v>
      </c>
      <c r="CO28" s="236">
        <f t="shared" si="15"/>
        <v>0</v>
      </c>
      <c r="CP28" s="236">
        <f t="shared" si="15"/>
        <v>0</v>
      </c>
      <c r="CQ28" s="236">
        <f t="shared" si="15"/>
        <v>0</v>
      </c>
      <c r="CR28" s="236">
        <f t="shared" si="15"/>
        <v>0</v>
      </c>
      <c r="CS28" s="236">
        <f t="shared" si="15"/>
        <v>0</v>
      </c>
      <c r="CT28" s="236">
        <f t="shared" si="15"/>
        <v>0</v>
      </c>
      <c r="CU28" s="236">
        <f t="shared" si="15"/>
        <v>0</v>
      </c>
      <c r="CV28" s="236">
        <f t="shared" si="15"/>
        <v>0</v>
      </c>
      <c r="CW28" s="236">
        <f t="shared" si="15"/>
        <v>0</v>
      </c>
      <c r="CX28" s="236">
        <f t="shared" si="15"/>
        <v>0</v>
      </c>
      <c r="CY28" s="236">
        <f t="shared" si="15"/>
        <v>0</v>
      </c>
      <c r="CZ28" s="236">
        <f t="shared" si="15"/>
        <v>0</v>
      </c>
      <c r="DA28" s="236">
        <f t="shared" si="15"/>
        <v>0</v>
      </c>
      <c r="DB28" s="236">
        <f t="shared" si="15"/>
        <v>0</v>
      </c>
      <c r="DC28" s="236">
        <f t="shared" si="15"/>
        <v>0</v>
      </c>
    </row>
    <row r="29" spans="2:107" ht="15" customHeight="1" x14ac:dyDescent="0.25">
      <c r="B29" s="899">
        <v>15</v>
      </c>
      <c r="C29" s="225" t="s">
        <v>4207</v>
      </c>
      <c r="D29" s="225"/>
      <c r="E29" s="231" t="s">
        <v>4208</v>
      </c>
      <c r="F29" s="232"/>
      <c r="G29" s="237" t="str">
        <f>IF(COUNTA(H29:DC29)=0,"",IF(OR(LARGE(H29:DC29,1)&gt;24,SMALL(H29:DC29,1)&lt;0),"ERRO",""))</f>
        <v/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</row>
    <row r="30" spans="2:107" ht="15" customHeight="1" x14ac:dyDescent="0.25">
      <c r="B30" s="900"/>
      <c r="C30" s="239" t="s">
        <v>4209</v>
      </c>
      <c r="D30" s="239"/>
      <c r="E30" s="558" t="s">
        <v>4210</v>
      </c>
      <c r="F30" s="232"/>
      <c r="G30" s="237" t="str">
        <f>IF(COUNTA(H30:DC30)=0,"",IF(OR(LARGE(H30:DC30,1)&gt;365,SMALL(H30:DC30,1)&lt;0),"ERRO",""))</f>
        <v/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</row>
    <row r="31" spans="2:107" ht="15" customHeight="1" x14ac:dyDescent="0.25">
      <c r="B31" s="901"/>
      <c r="C31" s="225" t="s">
        <v>4211</v>
      </c>
      <c r="D31" s="225"/>
      <c r="E31" s="231" t="s">
        <v>4212</v>
      </c>
      <c r="F31" s="232" t="s">
        <v>4234</v>
      </c>
      <c r="G31" s="237" t="str">
        <f>IF(COUNTA(H31:DC31)=0,"",IF(OR(LARGE(H31:DC31,1)&gt;8760,SMALL(H31:DC31,1)&lt;0),"ERRO",""))</f>
        <v/>
      </c>
      <c r="H31" s="241">
        <f>H29*H30</f>
        <v>0</v>
      </c>
      <c r="I31" s="241">
        <f t="shared" ref="I31:BT31" si="16">I29*I30</f>
        <v>0</v>
      </c>
      <c r="J31" s="241">
        <f t="shared" si="16"/>
        <v>0</v>
      </c>
      <c r="K31" s="241">
        <f t="shared" si="16"/>
        <v>0</v>
      </c>
      <c r="L31" s="241">
        <f t="shared" si="16"/>
        <v>0</v>
      </c>
      <c r="M31" s="241">
        <f t="shared" si="16"/>
        <v>0</v>
      </c>
      <c r="N31" s="241">
        <f t="shared" si="16"/>
        <v>0</v>
      </c>
      <c r="O31" s="241">
        <f t="shared" si="16"/>
        <v>0</v>
      </c>
      <c r="P31" s="241">
        <f t="shared" si="16"/>
        <v>0</v>
      </c>
      <c r="Q31" s="241">
        <f t="shared" si="16"/>
        <v>0</v>
      </c>
      <c r="R31" s="241">
        <f t="shared" si="16"/>
        <v>0</v>
      </c>
      <c r="S31" s="241">
        <f t="shared" si="16"/>
        <v>0</v>
      </c>
      <c r="T31" s="241">
        <f t="shared" si="16"/>
        <v>0</v>
      </c>
      <c r="U31" s="241">
        <f t="shared" si="16"/>
        <v>0</v>
      </c>
      <c r="V31" s="241">
        <f t="shared" si="16"/>
        <v>0</v>
      </c>
      <c r="W31" s="241">
        <f t="shared" si="16"/>
        <v>0</v>
      </c>
      <c r="X31" s="241">
        <f t="shared" si="16"/>
        <v>0</v>
      </c>
      <c r="Y31" s="241">
        <f t="shared" si="16"/>
        <v>0</v>
      </c>
      <c r="Z31" s="241">
        <f t="shared" si="16"/>
        <v>0</v>
      </c>
      <c r="AA31" s="241">
        <f t="shared" si="16"/>
        <v>0</v>
      </c>
      <c r="AB31" s="241">
        <f t="shared" si="16"/>
        <v>0</v>
      </c>
      <c r="AC31" s="241">
        <f t="shared" si="16"/>
        <v>0</v>
      </c>
      <c r="AD31" s="241">
        <f t="shared" si="16"/>
        <v>0</v>
      </c>
      <c r="AE31" s="241">
        <f t="shared" si="16"/>
        <v>0</v>
      </c>
      <c r="AF31" s="241">
        <f t="shared" si="16"/>
        <v>0</v>
      </c>
      <c r="AG31" s="241">
        <f t="shared" si="16"/>
        <v>0</v>
      </c>
      <c r="AH31" s="241">
        <f t="shared" si="16"/>
        <v>0</v>
      </c>
      <c r="AI31" s="241">
        <f t="shared" si="16"/>
        <v>0</v>
      </c>
      <c r="AJ31" s="241">
        <f t="shared" si="16"/>
        <v>0</v>
      </c>
      <c r="AK31" s="241">
        <f t="shared" si="16"/>
        <v>0</v>
      </c>
      <c r="AL31" s="241">
        <f t="shared" si="16"/>
        <v>0</v>
      </c>
      <c r="AM31" s="241">
        <f t="shared" si="16"/>
        <v>0</v>
      </c>
      <c r="AN31" s="241">
        <f t="shared" si="16"/>
        <v>0</v>
      </c>
      <c r="AO31" s="241">
        <f t="shared" si="16"/>
        <v>0</v>
      </c>
      <c r="AP31" s="241">
        <f t="shared" si="16"/>
        <v>0</v>
      </c>
      <c r="AQ31" s="241">
        <f t="shared" si="16"/>
        <v>0</v>
      </c>
      <c r="AR31" s="241">
        <f t="shared" si="16"/>
        <v>0</v>
      </c>
      <c r="AS31" s="241">
        <f t="shared" si="16"/>
        <v>0</v>
      </c>
      <c r="AT31" s="241">
        <f t="shared" si="16"/>
        <v>0</v>
      </c>
      <c r="AU31" s="241">
        <f t="shared" si="16"/>
        <v>0</v>
      </c>
      <c r="AV31" s="241">
        <f t="shared" si="16"/>
        <v>0</v>
      </c>
      <c r="AW31" s="241">
        <f t="shared" si="16"/>
        <v>0</v>
      </c>
      <c r="AX31" s="241">
        <f t="shared" si="16"/>
        <v>0</v>
      </c>
      <c r="AY31" s="241">
        <f t="shared" si="16"/>
        <v>0</v>
      </c>
      <c r="AZ31" s="241">
        <f t="shared" si="16"/>
        <v>0</v>
      </c>
      <c r="BA31" s="241">
        <f t="shared" si="16"/>
        <v>0</v>
      </c>
      <c r="BB31" s="241">
        <f t="shared" si="16"/>
        <v>0</v>
      </c>
      <c r="BC31" s="241">
        <f t="shared" si="16"/>
        <v>0</v>
      </c>
      <c r="BD31" s="241">
        <f t="shared" si="16"/>
        <v>0</v>
      </c>
      <c r="BE31" s="241">
        <f t="shared" si="16"/>
        <v>0</v>
      </c>
      <c r="BF31" s="241">
        <f t="shared" si="16"/>
        <v>0</v>
      </c>
      <c r="BG31" s="241">
        <f t="shared" si="16"/>
        <v>0</v>
      </c>
      <c r="BH31" s="241">
        <f t="shared" si="16"/>
        <v>0</v>
      </c>
      <c r="BI31" s="241">
        <f t="shared" si="16"/>
        <v>0</v>
      </c>
      <c r="BJ31" s="241">
        <f t="shared" si="16"/>
        <v>0</v>
      </c>
      <c r="BK31" s="241">
        <f t="shared" si="16"/>
        <v>0</v>
      </c>
      <c r="BL31" s="241">
        <f t="shared" si="16"/>
        <v>0</v>
      </c>
      <c r="BM31" s="241">
        <f t="shared" si="16"/>
        <v>0</v>
      </c>
      <c r="BN31" s="241">
        <f t="shared" si="16"/>
        <v>0</v>
      </c>
      <c r="BO31" s="241">
        <f t="shared" si="16"/>
        <v>0</v>
      </c>
      <c r="BP31" s="241">
        <f t="shared" si="16"/>
        <v>0</v>
      </c>
      <c r="BQ31" s="241">
        <f t="shared" si="16"/>
        <v>0</v>
      </c>
      <c r="BR31" s="241">
        <f t="shared" si="16"/>
        <v>0</v>
      </c>
      <c r="BS31" s="241">
        <f t="shared" si="16"/>
        <v>0</v>
      </c>
      <c r="BT31" s="241">
        <f t="shared" si="16"/>
        <v>0</v>
      </c>
      <c r="BU31" s="241">
        <f t="shared" ref="BU31:DC31" si="17">BU29*BU30</f>
        <v>0</v>
      </c>
      <c r="BV31" s="241">
        <f t="shared" si="17"/>
        <v>0</v>
      </c>
      <c r="BW31" s="241">
        <f t="shared" si="17"/>
        <v>0</v>
      </c>
      <c r="BX31" s="241">
        <f t="shared" si="17"/>
        <v>0</v>
      </c>
      <c r="BY31" s="241">
        <f t="shared" si="17"/>
        <v>0</v>
      </c>
      <c r="BZ31" s="241">
        <f t="shared" si="17"/>
        <v>0</v>
      </c>
      <c r="CA31" s="241">
        <f t="shared" si="17"/>
        <v>0</v>
      </c>
      <c r="CB31" s="241">
        <f t="shared" si="17"/>
        <v>0</v>
      </c>
      <c r="CC31" s="241">
        <f t="shared" si="17"/>
        <v>0</v>
      </c>
      <c r="CD31" s="241">
        <f t="shared" si="17"/>
        <v>0</v>
      </c>
      <c r="CE31" s="241">
        <f t="shared" si="17"/>
        <v>0</v>
      </c>
      <c r="CF31" s="241">
        <f t="shared" si="17"/>
        <v>0</v>
      </c>
      <c r="CG31" s="241">
        <f t="shared" si="17"/>
        <v>0</v>
      </c>
      <c r="CH31" s="241">
        <f t="shared" si="17"/>
        <v>0</v>
      </c>
      <c r="CI31" s="241">
        <f t="shared" si="17"/>
        <v>0</v>
      </c>
      <c r="CJ31" s="241">
        <f t="shared" si="17"/>
        <v>0</v>
      </c>
      <c r="CK31" s="241">
        <f t="shared" si="17"/>
        <v>0</v>
      </c>
      <c r="CL31" s="241">
        <f t="shared" si="17"/>
        <v>0</v>
      </c>
      <c r="CM31" s="241">
        <f t="shared" si="17"/>
        <v>0</v>
      </c>
      <c r="CN31" s="241">
        <f t="shared" si="17"/>
        <v>0</v>
      </c>
      <c r="CO31" s="241">
        <f t="shared" si="17"/>
        <v>0</v>
      </c>
      <c r="CP31" s="241">
        <f t="shared" si="17"/>
        <v>0</v>
      </c>
      <c r="CQ31" s="241">
        <f t="shared" si="17"/>
        <v>0</v>
      </c>
      <c r="CR31" s="241">
        <f t="shared" si="17"/>
        <v>0</v>
      </c>
      <c r="CS31" s="241">
        <f t="shared" si="17"/>
        <v>0</v>
      </c>
      <c r="CT31" s="241">
        <f t="shared" si="17"/>
        <v>0</v>
      </c>
      <c r="CU31" s="241">
        <f t="shared" si="17"/>
        <v>0</v>
      </c>
      <c r="CV31" s="241">
        <f t="shared" si="17"/>
        <v>0</v>
      </c>
      <c r="CW31" s="241">
        <f t="shared" si="17"/>
        <v>0</v>
      </c>
      <c r="CX31" s="241">
        <f t="shared" si="17"/>
        <v>0</v>
      </c>
      <c r="CY31" s="241">
        <f t="shared" si="17"/>
        <v>0</v>
      </c>
      <c r="CZ31" s="241">
        <f t="shared" si="17"/>
        <v>0</v>
      </c>
      <c r="DA31" s="241">
        <f t="shared" si="17"/>
        <v>0</v>
      </c>
      <c r="DB31" s="241">
        <f t="shared" si="17"/>
        <v>0</v>
      </c>
      <c r="DC31" s="241">
        <f t="shared" si="17"/>
        <v>0</v>
      </c>
    </row>
    <row r="32" spans="2:107" ht="15" customHeight="1" x14ac:dyDescent="0.25">
      <c r="B32" s="899">
        <v>16</v>
      </c>
      <c r="C32" s="225" t="s">
        <v>4214</v>
      </c>
      <c r="D32" s="225"/>
      <c r="E32" s="231" t="s">
        <v>4208</v>
      </c>
      <c r="F32" s="232" t="s">
        <v>4235</v>
      </c>
      <c r="G32" s="237" t="str">
        <f>IF(COUNTA(H32:DC32)=0,"",IF(OR(LARGE(H32:DC32,1)&gt;3,SMALL(H32:DC32,1)&lt;0),"ERRO",""))</f>
        <v/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</row>
    <row r="33" spans="2:107" ht="15" customHeight="1" x14ac:dyDescent="0.25">
      <c r="B33" s="900"/>
      <c r="C33" s="225" t="s">
        <v>4216</v>
      </c>
      <c r="D33" s="225"/>
      <c r="E33" s="226" t="s">
        <v>4217</v>
      </c>
      <c r="F33" s="232" t="s">
        <v>4236</v>
      </c>
      <c r="G33" s="237" t="str">
        <f>IF(COUNTA(H33:DC33)=0,"",IF(OR(LARGE(H33:DC33,1)&gt;22,SMALL(H33:DC33,1)&lt;0),"ERRO",""))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</row>
    <row r="34" spans="2:107" ht="15" customHeight="1" x14ac:dyDescent="0.25">
      <c r="B34" s="900"/>
      <c r="C34" s="225" t="s">
        <v>4219</v>
      </c>
      <c r="D34" s="225"/>
      <c r="E34" s="226" t="s">
        <v>4220</v>
      </c>
      <c r="F34" s="232" t="s">
        <v>4237</v>
      </c>
      <c r="G34" s="237" t="str">
        <f>IF(COUNTA(H34:DC34)=0,"",IF(OR(LARGE(H34:DC34,1)&gt;12,SMALL(H34:DC34,1)&lt;0),"ERRO",""))</f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</row>
    <row r="35" spans="2:107" ht="15" customHeight="1" x14ac:dyDescent="0.25">
      <c r="B35" s="900"/>
      <c r="C35" s="225" t="s">
        <v>4222</v>
      </c>
      <c r="D35" s="225"/>
      <c r="E35" s="231" t="s">
        <v>3857</v>
      </c>
      <c r="F35" s="232" t="s">
        <v>4238</v>
      </c>
      <c r="G35" s="233">
        <f>SUM(H35:DC35)</f>
        <v>0</v>
      </c>
      <c r="H35" s="236">
        <f>H28*((H32*H33*H34)/792)</f>
        <v>0</v>
      </c>
      <c r="I35" s="236">
        <f>I28*((I32*I33*I34)/792)</f>
        <v>0</v>
      </c>
      <c r="J35" s="236">
        <f t="shared" ref="J35:BT35" si="18">J28*((J32*J33*J34)/792)</f>
        <v>0</v>
      </c>
      <c r="K35" s="236">
        <f t="shared" si="18"/>
        <v>0</v>
      </c>
      <c r="L35" s="236">
        <f t="shared" si="18"/>
        <v>0</v>
      </c>
      <c r="M35" s="236">
        <f t="shared" si="18"/>
        <v>0</v>
      </c>
      <c r="N35" s="236">
        <f t="shared" si="18"/>
        <v>0</v>
      </c>
      <c r="O35" s="236">
        <f t="shared" si="18"/>
        <v>0</v>
      </c>
      <c r="P35" s="236">
        <f t="shared" si="18"/>
        <v>0</v>
      </c>
      <c r="Q35" s="236">
        <f t="shared" si="18"/>
        <v>0</v>
      </c>
      <c r="R35" s="236">
        <f t="shared" si="18"/>
        <v>0</v>
      </c>
      <c r="S35" s="236">
        <f t="shared" si="18"/>
        <v>0</v>
      </c>
      <c r="T35" s="236">
        <f t="shared" si="18"/>
        <v>0</v>
      </c>
      <c r="U35" s="236">
        <f t="shared" si="18"/>
        <v>0</v>
      </c>
      <c r="V35" s="236">
        <f t="shared" si="18"/>
        <v>0</v>
      </c>
      <c r="W35" s="236">
        <f t="shared" si="18"/>
        <v>0</v>
      </c>
      <c r="X35" s="236">
        <f t="shared" si="18"/>
        <v>0</v>
      </c>
      <c r="Y35" s="236">
        <f t="shared" si="18"/>
        <v>0</v>
      </c>
      <c r="Z35" s="236">
        <f t="shared" si="18"/>
        <v>0</v>
      </c>
      <c r="AA35" s="236">
        <f t="shared" si="18"/>
        <v>0</v>
      </c>
      <c r="AB35" s="236">
        <f t="shared" si="18"/>
        <v>0</v>
      </c>
      <c r="AC35" s="236">
        <f t="shared" si="18"/>
        <v>0</v>
      </c>
      <c r="AD35" s="236">
        <f t="shared" si="18"/>
        <v>0</v>
      </c>
      <c r="AE35" s="236">
        <f t="shared" si="18"/>
        <v>0</v>
      </c>
      <c r="AF35" s="236">
        <f t="shared" si="18"/>
        <v>0</v>
      </c>
      <c r="AG35" s="236">
        <f t="shared" si="18"/>
        <v>0</v>
      </c>
      <c r="AH35" s="236">
        <f t="shared" si="18"/>
        <v>0</v>
      </c>
      <c r="AI35" s="236">
        <f t="shared" si="18"/>
        <v>0</v>
      </c>
      <c r="AJ35" s="236">
        <f t="shared" si="18"/>
        <v>0</v>
      </c>
      <c r="AK35" s="236">
        <f t="shared" si="18"/>
        <v>0</v>
      </c>
      <c r="AL35" s="236">
        <f t="shared" si="18"/>
        <v>0</v>
      </c>
      <c r="AM35" s="236">
        <f t="shared" si="18"/>
        <v>0</v>
      </c>
      <c r="AN35" s="236">
        <f t="shared" si="18"/>
        <v>0</v>
      </c>
      <c r="AO35" s="236">
        <f t="shared" si="18"/>
        <v>0</v>
      </c>
      <c r="AP35" s="236">
        <f t="shared" si="18"/>
        <v>0</v>
      </c>
      <c r="AQ35" s="236">
        <f t="shared" si="18"/>
        <v>0</v>
      </c>
      <c r="AR35" s="236">
        <f t="shared" si="18"/>
        <v>0</v>
      </c>
      <c r="AS35" s="236">
        <f t="shared" si="18"/>
        <v>0</v>
      </c>
      <c r="AT35" s="236">
        <f t="shared" si="18"/>
        <v>0</v>
      </c>
      <c r="AU35" s="236">
        <f t="shared" si="18"/>
        <v>0</v>
      </c>
      <c r="AV35" s="236">
        <f t="shared" si="18"/>
        <v>0</v>
      </c>
      <c r="AW35" s="236">
        <f t="shared" si="18"/>
        <v>0</v>
      </c>
      <c r="AX35" s="236">
        <f t="shared" si="18"/>
        <v>0</v>
      </c>
      <c r="AY35" s="236">
        <f t="shared" si="18"/>
        <v>0</v>
      </c>
      <c r="AZ35" s="236">
        <f t="shared" si="18"/>
        <v>0</v>
      </c>
      <c r="BA35" s="236">
        <f t="shared" si="18"/>
        <v>0</v>
      </c>
      <c r="BB35" s="236">
        <f t="shared" si="18"/>
        <v>0</v>
      </c>
      <c r="BC35" s="236">
        <f t="shared" si="18"/>
        <v>0</v>
      </c>
      <c r="BD35" s="236">
        <f t="shared" si="18"/>
        <v>0</v>
      </c>
      <c r="BE35" s="236">
        <f t="shared" si="18"/>
        <v>0</v>
      </c>
      <c r="BF35" s="236">
        <f t="shared" si="18"/>
        <v>0</v>
      </c>
      <c r="BG35" s="236">
        <f t="shared" si="18"/>
        <v>0</v>
      </c>
      <c r="BH35" s="236">
        <f t="shared" si="18"/>
        <v>0</v>
      </c>
      <c r="BI35" s="236">
        <f t="shared" si="18"/>
        <v>0</v>
      </c>
      <c r="BJ35" s="236">
        <f t="shared" si="18"/>
        <v>0</v>
      </c>
      <c r="BK35" s="236">
        <f t="shared" si="18"/>
        <v>0</v>
      </c>
      <c r="BL35" s="236">
        <f t="shared" si="18"/>
        <v>0</v>
      </c>
      <c r="BM35" s="236">
        <f t="shared" si="18"/>
        <v>0</v>
      </c>
      <c r="BN35" s="236">
        <f t="shared" si="18"/>
        <v>0</v>
      </c>
      <c r="BO35" s="236">
        <f t="shared" si="18"/>
        <v>0</v>
      </c>
      <c r="BP35" s="236">
        <f t="shared" si="18"/>
        <v>0</v>
      </c>
      <c r="BQ35" s="236">
        <f t="shared" si="18"/>
        <v>0</v>
      </c>
      <c r="BR35" s="236">
        <f t="shared" si="18"/>
        <v>0</v>
      </c>
      <c r="BS35" s="236">
        <f t="shared" si="18"/>
        <v>0</v>
      </c>
      <c r="BT35" s="236">
        <f t="shared" si="18"/>
        <v>0</v>
      </c>
      <c r="BU35" s="236">
        <f t="shared" ref="BU35:DC35" si="19">BU28*((BU32*BU33*BU34)/792)</f>
        <v>0</v>
      </c>
      <c r="BV35" s="236">
        <f t="shared" si="19"/>
        <v>0</v>
      </c>
      <c r="BW35" s="236">
        <f t="shared" si="19"/>
        <v>0</v>
      </c>
      <c r="BX35" s="236">
        <f t="shared" si="19"/>
        <v>0</v>
      </c>
      <c r="BY35" s="236">
        <f t="shared" si="19"/>
        <v>0</v>
      </c>
      <c r="BZ35" s="236">
        <f t="shared" si="19"/>
        <v>0</v>
      </c>
      <c r="CA35" s="236">
        <f t="shared" si="19"/>
        <v>0</v>
      </c>
      <c r="CB35" s="236">
        <f t="shared" si="19"/>
        <v>0</v>
      </c>
      <c r="CC35" s="236">
        <f t="shared" si="19"/>
        <v>0</v>
      </c>
      <c r="CD35" s="236">
        <f t="shared" si="19"/>
        <v>0</v>
      </c>
      <c r="CE35" s="236">
        <f t="shared" si="19"/>
        <v>0</v>
      </c>
      <c r="CF35" s="236">
        <f t="shared" si="19"/>
        <v>0</v>
      </c>
      <c r="CG35" s="236">
        <f t="shared" si="19"/>
        <v>0</v>
      </c>
      <c r="CH35" s="236">
        <f t="shared" si="19"/>
        <v>0</v>
      </c>
      <c r="CI35" s="236">
        <f t="shared" si="19"/>
        <v>0</v>
      </c>
      <c r="CJ35" s="236">
        <f t="shared" si="19"/>
        <v>0</v>
      </c>
      <c r="CK35" s="236">
        <f t="shared" si="19"/>
        <v>0</v>
      </c>
      <c r="CL35" s="236">
        <f t="shared" si="19"/>
        <v>0</v>
      </c>
      <c r="CM35" s="236">
        <f t="shared" si="19"/>
        <v>0</v>
      </c>
      <c r="CN35" s="236">
        <f t="shared" si="19"/>
        <v>0</v>
      </c>
      <c r="CO35" s="236">
        <f t="shared" si="19"/>
        <v>0</v>
      </c>
      <c r="CP35" s="236">
        <f t="shared" si="19"/>
        <v>0</v>
      </c>
      <c r="CQ35" s="236">
        <f t="shared" si="19"/>
        <v>0</v>
      </c>
      <c r="CR35" s="236">
        <f t="shared" si="19"/>
        <v>0</v>
      </c>
      <c r="CS35" s="236">
        <f t="shared" si="19"/>
        <v>0</v>
      </c>
      <c r="CT35" s="236">
        <f t="shared" si="19"/>
        <v>0</v>
      </c>
      <c r="CU35" s="236">
        <f t="shared" si="19"/>
        <v>0</v>
      </c>
      <c r="CV35" s="236">
        <f t="shared" si="19"/>
        <v>0</v>
      </c>
      <c r="CW35" s="236">
        <f t="shared" si="19"/>
        <v>0</v>
      </c>
      <c r="CX35" s="236">
        <f t="shared" si="19"/>
        <v>0</v>
      </c>
      <c r="CY35" s="236">
        <f t="shared" si="19"/>
        <v>0</v>
      </c>
      <c r="CZ35" s="236">
        <f t="shared" si="19"/>
        <v>0</v>
      </c>
      <c r="DA35" s="236">
        <f t="shared" si="19"/>
        <v>0</v>
      </c>
      <c r="DB35" s="236">
        <f t="shared" si="19"/>
        <v>0</v>
      </c>
      <c r="DC35" s="236">
        <f t="shared" si="19"/>
        <v>0</v>
      </c>
    </row>
    <row r="36" spans="2:107" ht="15" customHeight="1" x14ac:dyDescent="0.25">
      <c r="B36" s="901"/>
      <c r="C36" s="225" t="s">
        <v>4224</v>
      </c>
      <c r="D36" s="225"/>
      <c r="E36" s="231"/>
      <c r="F36" s="232" t="s">
        <v>4239</v>
      </c>
      <c r="G36" s="237" t="str">
        <f>IF(COUNTA(H36:DC36)=0,"",IF(OR(LARGE(H36:DC36,1)&gt;1,SMALL(H36:DC36,1)&lt;0),"ERRO",""))</f>
        <v/>
      </c>
      <c r="H36" s="242">
        <f>IF(H28=0,0,H35/H28)</f>
        <v>0</v>
      </c>
      <c r="I36" s="242">
        <f t="shared" ref="I36:BT36" si="20">IF(I28=0,0,I35/I28)</f>
        <v>0</v>
      </c>
      <c r="J36" s="242">
        <f t="shared" si="20"/>
        <v>0</v>
      </c>
      <c r="K36" s="242">
        <f t="shared" si="20"/>
        <v>0</v>
      </c>
      <c r="L36" s="242">
        <f t="shared" si="20"/>
        <v>0</v>
      </c>
      <c r="M36" s="242">
        <f t="shared" si="20"/>
        <v>0</v>
      </c>
      <c r="N36" s="242">
        <f t="shared" si="20"/>
        <v>0</v>
      </c>
      <c r="O36" s="242">
        <f t="shared" si="20"/>
        <v>0</v>
      </c>
      <c r="P36" s="242">
        <f t="shared" si="20"/>
        <v>0</v>
      </c>
      <c r="Q36" s="242">
        <f t="shared" si="20"/>
        <v>0</v>
      </c>
      <c r="R36" s="242">
        <f t="shared" si="20"/>
        <v>0</v>
      </c>
      <c r="S36" s="242">
        <f t="shared" si="20"/>
        <v>0</v>
      </c>
      <c r="T36" s="242">
        <f t="shared" si="20"/>
        <v>0</v>
      </c>
      <c r="U36" s="242">
        <f t="shared" si="20"/>
        <v>0</v>
      </c>
      <c r="V36" s="242">
        <f t="shared" si="20"/>
        <v>0</v>
      </c>
      <c r="W36" s="242">
        <f t="shared" si="20"/>
        <v>0</v>
      </c>
      <c r="X36" s="242">
        <f t="shared" si="20"/>
        <v>0</v>
      </c>
      <c r="Y36" s="242">
        <f t="shared" si="20"/>
        <v>0</v>
      </c>
      <c r="Z36" s="242">
        <f t="shared" si="20"/>
        <v>0</v>
      </c>
      <c r="AA36" s="242">
        <f t="shared" si="20"/>
        <v>0</v>
      </c>
      <c r="AB36" s="242">
        <f t="shared" si="20"/>
        <v>0</v>
      </c>
      <c r="AC36" s="242">
        <f t="shared" si="20"/>
        <v>0</v>
      </c>
      <c r="AD36" s="242">
        <f t="shared" si="20"/>
        <v>0</v>
      </c>
      <c r="AE36" s="242">
        <f t="shared" si="20"/>
        <v>0</v>
      </c>
      <c r="AF36" s="242">
        <f t="shared" si="20"/>
        <v>0</v>
      </c>
      <c r="AG36" s="242">
        <f t="shared" si="20"/>
        <v>0</v>
      </c>
      <c r="AH36" s="242">
        <f t="shared" si="20"/>
        <v>0</v>
      </c>
      <c r="AI36" s="242">
        <f t="shared" si="20"/>
        <v>0</v>
      </c>
      <c r="AJ36" s="242">
        <f t="shared" si="20"/>
        <v>0</v>
      </c>
      <c r="AK36" s="242">
        <f t="shared" si="20"/>
        <v>0</v>
      </c>
      <c r="AL36" s="242">
        <f t="shared" si="20"/>
        <v>0</v>
      </c>
      <c r="AM36" s="242">
        <f t="shared" si="20"/>
        <v>0</v>
      </c>
      <c r="AN36" s="242">
        <f t="shared" si="20"/>
        <v>0</v>
      </c>
      <c r="AO36" s="242">
        <f t="shared" si="20"/>
        <v>0</v>
      </c>
      <c r="AP36" s="242">
        <f t="shared" si="20"/>
        <v>0</v>
      </c>
      <c r="AQ36" s="242">
        <f t="shared" si="20"/>
        <v>0</v>
      </c>
      <c r="AR36" s="242">
        <f t="shared" si="20"/>
        <v>0</v>
      </c>
      <c r="AS36" s="242">
        <f t="shared" si="20"/>
        <v>0</v>
      </c>
      <c r="AT36" s="242">
        <f t="shared" si="20"/>
        <v>0</v>
      </c>
      <c r="AU36" s="242">
        <f t="shared" si="20"/>
        <v>0</v>
      </c>
      <c r="AV36" s="242">
        <f t="shared" si="20"/>
        <v>0</v>
      </c>
      <c r="AW36" s="242">
        <f t="shared" si="20"/>
        <v>0</v>
      </c>
      <c r="AX36" s="242">
        <f t="shared" si="20"/>
        <v>0</v>
      </c>
      <c r="AY36" s="242">
        <f t="shared" si="20"/>
        <v>0</v>
      </c>
      <c r="AZ36" s="242">
        <f t="shared" si="20"/>
        <v>0</v>
      </c>
      <c r="BA36" s="242">
        <f t="shared" si="20"/>
        <v>0</v>
      </c>
      <c r="BB36" s="242">
        <f t="shared" si="20"/>
        <v>0</v>
      </c>
      <c r="BC36" s="242">
        <f t="shared" si="20"/>
        <v>0</v>
      </c>
      <c r="BD36" s="242">
        <f t="shared" si="20"/>
        <v>0</v>
      </c>
      <c r="BE36" s="242">
        <f t="shared" si="20"/>
        <v>0</v>
      </c>
      <c r="BF36" s="242">
        <f t="shared" si="20"/>
        <v>0</v>
      </c>
      <c r="BG36" s="242">
        <f t="shared" si="20"/>
        <v>0</v>
      </c>
      <c r="BH36" s="242">
        <f t="shared" si="20"/>
        <v>0</v>
      </c>
      <c r="BI36" s="242">
        <f t="shared" si="20"/>
        <v>0</v>
      </c>
      <c r="BJ36" s="242">
        <f t="shared" si="20"/>
        <v>0</v>
      </c>
      <c r="BK36" s="242">
        <f t="shared" si="20"/>
        <v>0</v>
      </c>
      <c r="BL36" s="242">
        <f t="shared" si="20"/>
        <v>0</v>
      </c>
      <c r="BM36" s="242">
        <f t="shared" si="20"/>
        <v>0</v>
      </c>
      <c r="BN36" s="242">
        <f t="shared" si="20"/>
        <v>0</v>
      </c>
      <c r="BO36" s="242">
        <f t="shared" si="20"/>
        <v>0</v>
      </c>
      <c r="BP36" s="242">
        <f t="shared" si="20"/>
        <v>0</v>
      </c>
      <c r="BQ36" s="242">
        <f t="shared" si="20"/>
        <v>0</v>
      </c>
      <c r="BR36" s="242">
        <f t="shared" si="20"/>
        <v>0</v>
      </c>
      <c r="BS36" s="242">
        <f t="shared" si="20"/>
        <v>0</v>
      </c>
      <c r="BT36" s="242">
        <f t="shared" si="20"/>
        <v>0</v>
      </c>
      <c r="BU36" s="242">
        <f t="shared" ref="BU36:DC36" si="21">IF(BU28=0,0,BU35/BU28)</f>
        <v>0</v>
      </c>
      <c r="BV36" s="242">
        <f t="shared" si="21"/>
        <v>0</v>
      </c>
      <c r="BW36" s="242">
        <f t="shared" si="21"/>
        <v>0</v>
      </c>
      <c r="BX36" s="242">
        <f t="shared" si="21"/>
        <v>0</v>
      </c>
      <c r="BY36" s="242">
        <f t="shared" si="21"/>
        <v>0</v>
      </c>
      <c r="BZ36" s="242">
        <f t="shared" si="21"/>
        <v>0</v>
      </c>
      <c r="CA36" s="242">
        <f t="shared" si="21"/>
        <v>0</v>
      </c>
      <c r="CB36" s="242">
        <f t="shared" si="21"/>
        <v>0</v>
      </c>
      <c r="CC36" s="242">
        <f t="shared" si="21"/>
        <v>0</v>
      </c>
      <c r="CD36" s="242">
        <f t="shared" si="21"/>
        <v>0</v>
      </c>
      <c r="CE36" s="242">
        <f t="shared" si="21"/>
        <v>0</v>
      </c>
      <c r="CF36" s="242">
        <f t="shared" si="21"/>
        <v>0</v>
      </c>
      <c r="CG36" s="242">
        <f t="shared" si="21"/>
        <v>0</v>
      </c>
      <c r="CH36" s="242">
        <f t="shared" si="21"/>
        <v>0</v>
      </c>
      <c r="CI36" s="242">
        <f t="shared" si="21"/>
        <v>0</v>
      </c>
      <c r="CJ36" s="242">
        <f t="shared" si="21"/>
        <v>0</v>
      </c>
      <c r="CK36" s="242">
        <f t="shared" si="21"/>
        <v>0</v>
      </c>
      <c r="CL36" s="242">
        <f t="shared" si="21"/>
        <v>0</v>
      </c>
      <c r="CM36" s="242">
        <f t="shared" si="21"/>
        <v>0</v>
      </c>
      <c r="CN36" s="242">
        <f t="shared" si="21"/>
        <v>0</v>
      </c>
      <c r="CO36" s="242">
        <f t="shared" si="21"/>
        <v>0</v>
      </c>
      <c r="CP36" s="242">
        <f t="shared" si="21"/>
        <v>0</v>
      </c>
      <c r="CQ36" s="242">
        <f t="shared" si="21"/>
        <v>0</v>
      </c>
      <c r="CR36" s="242">
        <f t="shared" si="21"/>
        <v>0</v>
      </c>
      <c r="CS36" s="242">
        <f t="shared" si="21"/>
        <v>0</v>
      </c>
      <c r="CT36" s="242">
        <f t="shared" si="21"/>
        <v>0</v>
      </c>
      <c r="CU36" s="242">
        <f t="shared" si="21"/>
        <v>0</v>
      </c>
      <c r="CV36" s="242">
        <f t="shared" si="21"/>
        <v>0</v>
      </c>
      <c r="CW36" s="242">
        <f t="shared" si="21"/>
        <v>0</v>
      </c>
      <c r="CX36" s="242">
        <f t="shared" si="21"/>
        <v>0</v>
      </c>
      <c r="CY36" s="242">
        <f t="shared" si="21"/>
        <v>0</v>
      </c>
      <c r="CZ36" s="242">
        <f t="shared" si="21"/>
        <v>0</v>
      </c>
      <c r="DA36" s="242">
        <f t="shared" si="21"/>
        <v>0</v>
      </c>
      <c r="DB36" s="242">
        <f t="shared" si="21"/>
        <v>0</v>
      </c>
      <c r="DC36" s="242">
        <f t="shared" si="21"/>
        <v>0</v>
      </c>
    </row>
    <row r="37" spans="2:107" ht="15" customHeight="1" x14ac:dyDescent="0.25">
      <c r="B37" s="515">
        <v>17</v>
      </c>
      <c r="C37" s="225" t="s">
        <v>4226</v>
      </c>
      <c r="D37" s="225"/>
      <c r="E37" s="231" t="s">
        <v>3854</v>
      </c>
      <c r="F37" s="232" t="s">
        <v>4240</v>
      </c>
      <c r="G37" s="243">
        <f>SUM(H37:DC37)</f>
        <v>0</v>
      </c>
      <c r="H37" s="241">
        <f>(H28*H31)/1000</f>
        <v>0</v>
      </c>
      <c r="I37" s="241">
        <f>(I28*I31)/1000</f>
        <v>0</v>
      </c>
      <c r="J37" s="241">
        <f t="shared" ref="J37:BT37" si="22">(J28*J31)/1000</f>
        <v>0</v>
      </c>
      <c r="K37" s="241">
        <f t="shared" si="22"/>
        <v>0</v>
      </c>
      <c r="L37" s="241">
        <f t="shared" si="22"/>
        <v>0</v>
      </c>
      <c r="M37" s="241">
        <f t="shared" si="22"/>
        <v>0</v>
      </c>
      <c r="N37" s="241">
        <f t="shared" si="22"/>
        <v>0</v>
      </c>
      <c r="O37" s="241">
        <f t="shared" si="22"/>
        <v>0</v>
      </c>
      <c r="P37" s="241">
        <f t="shared" si="22"/>
        <v>0</v>
      </c>
      <c r="Q37" s="241">
        <f t="shared" si="22"/>
        <v>0</v>
      </c>
      <c r="R37" s="241">
        <f t="shared" si="22"/>
        <v>0</v>
      </c>
      <c r="S37" s="241">
        <f t="shared" si="22"/>
        <v>0</v>
      </c>
      <c r="T37" s="241">
        <f t="shared" si="22"/>
        <v>0</v>
      </c>
      <c r="U37" s="241">
        <f t="shared" si="22"/>
        <v>0</v>
      </c>
      <c r="V37" s="241">
        <f t="shared" si="22"/>
        <v>0</v>
      </c>
      <c r="W37" s="241">
        <f t="shared" si="22"/>
        <v>0</v>
      </c>
      <c r="X37" s="241">
        <f t="shared" si="22"/>
        <v>0</v>
      </c>
      <c r="Y37" s="241">
        <f t="shared" si="22"/>
        <v>0</v>
      </c>
      <c r="Z37" s="241">
        <f t="shared" si="22"/>
        <v>0</v>
      </c>
      <c r="AA37" s="241">
        <f t="shared" si="22"/>
        <v>0</v>
      </c>
      <c r="AB37" s="241">
        <f t="shared" si="22"/>
        <v>0</v>
      </c>
      <c r="AC37" s="241">
        <f t="shared" si="22"/>
        <v>0</v>
      </c>
      <c r="AD37" s="241">
        <f t="shared" si="22"/>
        <v>0</v>
      </c>
      <c r="AE37" s="241">
        <f t="shared" si="22"/>
        <v>0</v>
      </c>
      <c r="AF37" s="241">
        <f t="shared" si="22"/>
        <v>0</v>
      </c>
      <c r="AG37" s="241">
        <f t="shared" si="22"/>
        <v>0</v>
      </c>
      <c r="AH37" s="241">
        <f t="shared" si="22"/>
        <v>0</v>
      </c>
      <c r="AI37" s="241">
        <f t="shared" si="22"/>
        <v>0</v>
      </c>
      <c r="AJ37" s="241">
        <f t="shared" si="22"/>
        <v>0</v>
      </c>
      <c r="AK37" s="241">
        <f t="shared" si="22"/>
        <v>0</v>
      </c>
      <c r="AL37" s="241">
        <f t="shared" si="22"/>
        <v>0</v>
      </c>
      <c r="AM37" s="241">
        <f t="shared" si="22"/>
        <v>0</v>
      </c>
      <c r="AN37" s="241">
        <f t="shared" si="22"/>
        <v>0</v>
      </c>
      <c r="AO37" s="241">
        <f t="shared" si="22"/>
        <v>0</v>
      </c>
      <c r="AP37" s="241">
        <f t="shared" si="22"/>
        <v>0</v>
      </c>
      <c r="AQ37" s="241">
        <f t="shared" si="22"/>
        <v>0</v>
      </c>
      <c r="AR37" s="241">
        <f t="shared" si="22"/>
        <v>0</v>
      </c>
      <c r="AS37" s="241">
        <f t="shared" si="22"/>
        <v>0</v>
      </c>
      <c r="AT37" s="241">
        <f t="shared" si="22"/>
        <v>0</v>
      </c>
      <c r="AU37" s="241">
        <f t="shared" si="22"/>
        <v>0</v>
      </c>
      <c r="AV37" s="241">
        <f t="shared" si="22"/>
        <v>0</v>
      </c>
      <c r="AW37" s="241">
        <f t="shared" si="22"/>
        <v>0</v>
      </c>
      <c r="AX37" s="241">
        <f t="shared" si="22"/>
        <v>0</v>
      </c>
      <c r="AY37" s="241">
        <f t="shared" si="22"/>
        <v>0</v>
      </c>
      <c r="AZ37" s="241">
        <f t="shared" si="22"/>
        <v>0</v>
      </c>
      <c r="BA37" s="241">
        <f t="shared" si="22"/>
        <v>0</v>
      </c>
      <c r="BB37" s="241">
        <f t="shared" si="22"/>
        <v>0</v>
      </c>
      <c r="BC37" s="241">
        <f t="shared" si="22"/>
        <v>0</v>
      </c>
      <c r="BD37" s="241">
        <f t="shared" si="22"/>
        <v>0</v>
      </c>
      <c r="BE37" s="241">
        <f t="shared" si="22"/>
        <v>0</v>
      </c>
      <c r="BF37" s="241">
        <f t="shared" si="22"/>
        <v>0</v>
      </c>
      <c r="BG37" s="241">
        <f t="shared" si="22"/>
        <v>0</v>
      </c>
      <c r="BH37" s="241">
        <f t="shared" si="22"/>
        <v>0</v>
      </c>
      <c r="BI37" s="241">
        <f t="shared" si="22"/>
        <v>0</v>
      </c>
      <c r="BJ37" s="241">
        <f t="shared" si="22"/>
        <v>0</v>
      </c>
      <c r="BK37" s="241">
        <f t="shared" si="22"/>
        <v>0</v>
      </c>
      <c r="BL37" s="241">
        <f t="shared" si="22"/>
        <v>0</v>
      </c>
      <c r="BM37" s="241">
        <f t="shared" si="22"/>
        <v>0</v>
      </c>
      <c r="BN37" s="241">
        <f t="shared" si="22"/>
        <v>0</v>
      </c>
      <c r="BO37" s="241">
        <f t="shared" si="22"/>
        <v>0</v>
      </c>
      <c r="BP37" s="241">
        <f t="shared" si="22"/>
        <v>0</v>
      </c>
      <c r="BQ37" s="241">
        <f t="shared" si="22"/>
        <v>0</v>
      </c>
      <c r="BR37" s="241">
        <f t="shared" si="22"/>
        <v>0</v>
      </c>
      <c r="BS37" s="241">
        <f t="shared" si="22"/>
        <v>0</v>
      </c>
      <c r="BT37" s="241">
        <f t="shared" si="22"/>
        <v>0</v>
      </c>
      <c r="BU37" s="241">
        <f t="shared" ref="BU37:DC37" si="23">(BU28*BU31)/1000</f>
        <v>0</v>
      </c>
      <c r="BV37" s="241">
        <f t="shared" si="23"/>
        <v>0</v>
      </c>
      <c r="BW37" s="241">
        <f t="shared" si="23"/>
        <v>0</v>
      </c>
      <c r="BX37" s="241">
        <f t="shared" si="23"/>
        <v>0</v>
      </c>
      <c r="BY37" s="241">
        <f t="shared" si="23"/>
        <v>0</v>
      </c>
      <c r="BZ37" s="241">
        <f t="shared" si="23"/>
        <v>0</v>
      </c>
      <c r="CA37" s="241">
        <f t="shared" si="23"/>
        <v>0</v>
      </c>
      <c r="CB37" s="241">
        <f t="shared" si="23"/>
        <v>0</v>
      </c>
      <c r="CC37" s="241">
        <f t="shared" si="23"/>
        <v>0</v>
      </c>
      <c r="CD37" s="241">
        <f t="shared" si="23"/>
        <v>0</v>
      </c>
      <c r="CE37" s="241">
        <f t="shared" si="23"/>
        <v>0</v>
      </c>
      <c r="CF37" s="241">
        <f t="shared" si="23"/>
        <v>0</v>
      </c>
      <c r="CG37" s="241">
        <f t="shared" si="23"/>
        <v>0</v>
      </c>
      <c r="CH37" s="241">
        <f t="shared" si="23"/>
        <v>0</v>
      </c>
      <c r="CI37" s="241">
        <f t="shared" si="23"/>
        <v>0</v>
      </c>
      <c r="CJ37" s="241">
        <f t="shared" si="23"/>
        <v>0</v>
      </c>
      <c r="CK37" s="241">
        <f t="shared" si="23"/>
        <v>0</v>
      </c>
      <c r="CL37" s="241">
        <f t="shared" si="23"/>
        <v>0</v>
      </c>
      <c r="CM37" s="241">
        <f t="shared" si="23"/>
        <v>0</v>
      </c>
      <c r="CN37" s="241">
        <f t="shared" si="23"/>
        <v>0</v>
      </c>
      <c r="CO37" s="241">
        <f t="shared" si="23"/>
        <v>0</v>
      </c>
      <c r="CP37" s="241">
        <f t="shared" si="23"/>
        <v>0</v>
      </c>
      <c r="CQ37" s="241">
        <f t="shared" si="23"/>
        <v>0</v>
      </c>
      <c r="CR37" s="241">
        <f t="shared" si="23"/>
        <v>0</v>
      </c>
      <c r="CS37" s="241">
        <f t="shared" si="23"/>
        <v>0</v>
      </c>
      <c r="CT37" s="241">
        <f t="shared" si="23"/>
        <v>0</v>
      </c>
      <c r="CU37" s="241">
        <f t="shared" si="23"/>
        <v>0</v>
      </c>
      <c r="CV37" s="241">
        <f t="shared" si="23"/>
        <v>0</v>
      </c>
      <c r="CW37" s="241">
        <f t="shared" si="23"/>
        <v>0</v>
      </c>
      <c r="CX37" s="241">
        <f t="shared" si="23"/>
        <v>0</v>
      </c>
      <c r="CY37" s="241">
        <f t="shared" si="23"/>
        <v>0</v>
      </c>
      <c r="CZ37" s="241">
        <f t="shared" si="23"/>
        <v>0</v>
      </c>
      <c r="DA37" s="241">
        <f t="shared" si="23"/>
        <v>0</v>
      </c>
      <c r="DB37" s="241">
        <f t="shared" si="23"/>
        <v>0</v>
      </c>
      <c r="DC37" s="241">
        <f t="shared" si="23"/>
        <v>0</v>
      </c>
    </row>
    <row r="38" spans="2:107" ht="15" customHeight="1" x14ac:dyDescent="0.25">
      <c r="B38" s="515">
        <v>18</v>
      </c>
      <c r="C38" s="225" t="s">
        <v>4228</v>
      </c>
      <c r="D38" s="225"/>
      <c r="E38" s="231" t="s">
        <v>3857</v>
      </c>
      <c r="F38" s="232" t="s">
        <v>4241</v>
      </c>
      <c r="G38" s="243">
        <f>SUM(H38:DC38)</f>
        <v>0</v>
      </c>
      <c r="H38" s="244">
        <f>H28*H36</f>
        <v>0</v>
      </c>
      <c r="I38" s="244">
        <f t="shared" ref="I38:AM38" si="24">I28*I36</f>
        <v>0</v>
      </c>
      <c r="J38" s="244">
        <f t="shared" si="24"/>
        <v>0</v>
      </c>
      <c r="K38" s="244">
        <f t="shared" si="24"/>
        <v>0</v>
      </c>
      <c r="L38" s="244">
        <f t="shared" si="24"/>
        <v>0</v>
      </c>
      <c r="M38" s="244">
        <f t="shared" si="24"/>
        <v>0</v>
      </c>
      <c r="N38" s="244">
        <f t="shared" si="24"/>
        <v>0</v>
      </c>
      <c r="O38" s="244">
        <f t="shared" si="24"/>
        <v>0</v>
      </c>
      <c r="P38" s="244">
        <f t="shared" si="24"/>
        <v>0</v>
      </c>
      <c r="Q38" s="244">
        <f t="shared" si="24"/>
        <v>0</v>
      </c>
      <c r="R38" s="244">
        <f t="shared" si="24"/>
        <v>0</v>
      </c>
      <c r="S38" s="244">
        <f t="shared" si="24"/>
        <v>0</v>
      </c>
      <c r="T38" s="244">
        <f t="shared" si="24"/>
        <v>0</v>
      </c>
      <c r="U38" s="244">
        <f t="shared" si="24"/>
        <v>0</v>
      </c>
      <c r="V38" s="244">
        <f t="shared" si="24"/>
        <v>0</v>
      </c>
      <c r="W38" s="244">
        <f t="shared" si="24"/>
        <v>0</v>
      </c>
      <c r="X38" s="244">
        <f t="shared" si="24"/>
        <v>0</v>
      </c>
      <c r="Y38" s="244">
        <f t="shared" si="24"/>
        <v>0</v>
      </c>
      <c r="Z38" s="244">
        <f t="shared" si="24"/>
        <v>0</v>
      </c>
      <c r="AA38" s="244">
        <f t="shared" si="24"/>
        <v>0</v>
      </c>
      <c r="AB38" s="244">
        <f t="shared" si="24"/>
        <v>0</v>
      </c>
      <c r="AC38" s="244">
        <f t="shared" si="24"/>
        <v>0</v>
      </c>
      <c r="AD38" s="244">
        <f t="shared" si="24"/>
        <v>0</v>
      </c>
      <c r="AE38" s="244">
        <f t="shared" si="24"/>
        <v>0</v>
      </c>
      <c r="AF38" s="244">
        <f t="shared" si="24"/>
        <v>0</v>
      </c>
      <c r="AG38" s="244">
        <f t="shared" si="24"/>
        <v>0</v>
      </c>
      <c r="AH38" s="244">
        <f t="shared" si="24"/>
        <v>0</v>
      </c>
      <c r="AI38" s="244">
        <f t="shared" si="24"/>
        <v>0</v>
      </c>
      <c r="AJ38" s="244">
        <f t="shared" si="24"/>
        <v>0</v>
      </c>
      <c r="AK38" s="244">
        <f t="shared" si="24"/>
        <v>0</v>
      </c>
      <c r="AL38" s="244">
        <f t="shared" si="24"/>
        <v>0</v>
      </c>
      <c r="AM38" s="244">
        <f t="shared" si="24"/>
        <v>0</v>
      </c>
      <c r="AN38" s="244">
        <f t="shared" ref="AN38:BS38" si="25">AN28*AN36</f>
        <v>0</v>
      </c>
      <c r="AO38" s="244">
        <f t="shared" si="25"/>
        <v>0</v>
      </c>
      <c r="AP38" s="244">
        <f t="shared" si="25"/>
        <v>0</v>
      </c>
      <c r="AQ38" s="244">
        <f t="shared" si="25"/>
        <v>0</v>
      </c>
      <c r="AR38" s="244">
        <f t="shared" si="25"/>
        <v>0</v>
      </c>
      <c r="AS38" s="244">
        <f t="shared" si="25"/>
        <v>0</v>
      </c>
      <c r="AT38" s="244">
        <f t="shared" si="25"/>
        <v>0</v>
      </c>
      <c r="AU38" s="244">
        <f t="shared" si="25"/>
        <v>0</v>
      </c>
      <c r="AV38" s="244">
        <f t="shared" si="25"/>
        <v>0</v>
      </c>
      <c r="AW38" s="244">
        <f t="shared" si="25"/>
        <v>0</v>
      </c>
      <c r="AX38" s="244">
        <f t="shared" si="25"/>
        <v>0</v>
      </c>
      <c r="AY38" s="244">
        <f t="shared" si="25"/>
        <v>0</v>
      </c>
      <c r="AZ38" s="244">
        <f t="shared" si="25"/>
        <v>0</v>
      </c>
      <c r="BA38" s="244">
        <f t="shared" si="25"/>
        <v>0</v>
      </c>
      <c r="BB38" s="244">
        <f t="shared" si="25"/>
        <v>0</v>
      </c>
      <c r="BC38" s="244">
        <f t="shared" si="25"/>
        <v>0</v>
      </c>
      <c r="BD38" s="244">
        <f t="shared" si="25"/>
        <v>0</v>
      </c>
      <c r="BE38" s="244">
        <f t="shared" si="25"/>
        <v>0</v>
      </c>
      <c r="BF38" s="244">
        <f t="shared" si="25"/>
        <v>0</v>
      </c>
      <c r="BG38" s="244">
        <f t="shared" si="25"/>
        <v>0</v>
      </c>
      <c r="BH38" s="244">
        <f t="shared" si="25"/>
        <v>0</v>
      </c>
      <c r="BI38" s="244">
        <f t="shared" si="25"/>
        <v>0</v>
      </c>
      <c r="BJ38" s="244">
        <f t="shared" si="25"/>
        <v>0</v>
      </c>
      <c r="BK38" s="244">
        <f t="shared" si="25"/>
        <v>0</v>
      </c>
      <c r="BL38" s="244">
        <f t="shared" si="25"/>
        <v>0</v>
      </c>
      <c r="BM38" s="244">
        <f t="shared" si="25"/>
        <v>0</v>
      </c>
      <c r="BN38" s="244">
        <f t="shared" si="25"/>
        <v>0</v>
      </c>
      <c r="BO38" s="244">
        <f t="shared" si="25"/>
        <v>0</v>
      </c>
      <c r="BP38" s="244">
        <f t="shared" si="25"/>
        <v>0</v>
      </c>
      <c r="BQ38" s="244">
        <f t="shared" si="25"/>
        <v>0</v>
      </c>
      <c r="BR38" s="244">
        <f t="shared" si="25"/>
        <v>0</v>
      </c>
      <c r="BS38" s="244">
        <f t="shared" si="25"/>
        <v>0</v>
      </c>
      <c r="BT38" s="244">
        <f t="shared" ref="BT38:DC38" si="26">BT28*BT36</f>
        <v>0</v>
      </c>
      <c r="BU38" s="244">
        <f t="shared" si="26"/>
        <v>0</v>
      </c>
      <c r="BV38" s="244">
        <f t="shared" si="26"/>
        <v>0</v>
      </c>
      <c r="BW38" s="244">
        <f t="shared" si="26"/>
        <v>0</v>
      </c>
      <c r="BX38" s="244">
        <f t="shared" si="26"/>
        <v>0</v>
      </c>
      <c r="BY38" s="244">
        <f t="shared" si="26"/>
        <v>0</v>
      </c>
      <c r="BZ38" s="244">
        <f t="shared" si="26"/>
        <v>0</v>
      </c>
      <c r="CA38" s="244">
        <f t="shared" si="26"/>
        <v>0</v>
      </c>
      <c r="CB38" s="244">
        <f t="shared" si="26"/>
        <v>0</v>
      </c>
      <c r="CC38" s="244">
        <f t="shared" si="26"/>
        <v>0</v>
      </c>
      <c r="CD38" s="244">
        <f t="shared" si="26"/>
        <v>0</v>
      </c>
      <c r="CE38" s="244">
        <f t="shared" si="26"/>
        <v>0</v>
      </c>
      <c r="CF38" s="244">
        <f t="shared" si="26"/>
        <v>0</v>
      </c>
      <c r="CG38" s="244">
        <f t="shared" si="26"/>
        <v>0</v>
      </c>
      <c r="CH38" s="244">
        <f t="shared" si="26"/>
        <v>0</v>
      </c>
      <c r="CI38" s="244">
        <f t="shared" si="26"/>
        <v>0</v>
      </c>
      <c r="CJ38" s="244">
        <f t="shared" si="26"/>
        <v>0</v>
      </c>
      <c r="CK38" s="244">
        <f t="shared" si="26"/>
        <v>0</v>
      </c>
      <c r="CL38" s="244">
        <f t="shared" si="26"/>
        <v>0</v>
      </c>
      <c r="CM38" s="244">
        <f t="shared" si="26"/>
        <v>0</v>
      </c>
      <c r="CN38" s="244">
        <f t="shared" si="26"/>
        <v>0</v>
      </c>
      <c r="CO38" s="244">
        <f t="shared" si="26"/>
        <v>0</v>
      </c>
      <c r="CP38" s="244">
        <f t="shared" si="26"/>
        <v>0</v>
      </c>
      <c r="CQ38" s="244">
        <f t="shared" si="26"/>
        <v>0</v>
      </c>
      <c r="CR38" s="244">
        <f t="shared" si="26"/>
        <v>0</v>
      </c>
      <c r="CS38" s="244">
        <f t="shared" si="26"/>
        <v>0</v>
      </c>
      <c r="CT38" s="244">
        <f t="shared" si="26"/>
        <v>0</v>
      </c>
      <c r="CU38" s="244">
        <f t="shared" si="26"/>
        <v>0</v>
      </c>
      <c r="CV38" s="244">
        <f t="shared" si="26"/>
        <v>0</v>
      </c>
      <c r="CW38" s="244">
        <f t="shared" si="26"/>
        <v>0</v>
      </c>
      <c r="CX38" s="244">
        <f t="shared" si="26"/>
        <v>0</v>
      </c>
      <c r="CY38" s="244">
        <f t="shared" si="26"/>
        <v>0</v>
      </c>
      <c r="CZ38" s="244">
        <f t="shared" si="26"/>
        <v>0</v>
      </c>
      <c r="DA38" s="244">
        <f t="shared" si="26"/>
        <v>0</v>
      </c>
      <c r="DB38" s="244">
        <f t="shared" si="26"/>
        <v>0</v>
      </c>
      <c r="DC38" s="244">
        <f t="shared" si="26"/>
        <v>0</v>
      </c>
    </row>
    <row r="40" spans="2:107" ht="15" customHeight="1" x14ac:dyDescent="0.25">
      <c r="B40" s="779" t="s">
        <v>4242</v>
      </c>
      <c r="C40" s="779"/>
      <c r="D40" s="779"/>
      <c r="E40" s="779"/>
      <c r="F40" s="779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</row>
    <row r="42" spans="2:107" ht="15" customHeight="1" x14ac:dyDescent="0.25">
      <c r="B42" s="515">
        <v>19</v>
      </c>
      <c r="C42" s="248" t="s">
        <v>3901</v>
      </c>
      <c r="D42" s="248"/>
      <c r="E42" s="557" t="s">
        <v>3857</v>
      </c>
      <c r="F42" s="232" t="s">
        <v>4243</v>
      </c>
      <c r="G42" s="243">
        <f>SUM(H42:DC42)</f>
        <v>0</v>
      </c>
      <c r="H42" s="241">
        <f t="shared" ref="H42:AM42" si="27">H20-H38</f>
        <v>0</v>
      </c>
      <c r="I42" s="241">
        <f t="shared" si="27"/>
        <v>0</v>
      </c>
      <c r="J42" s="241">
        <f t="shared" si="27"/>
        <v>0</v>
      </c>
      <c r="K42" s="241">
        <f t="shared" si="27"/>
        <v>0</v>
      </c>
      <c r="L42" s="241">
        <f t="shared" si="27"/>
        <v>0</v>
      </c>
      <c r="M42" s="241">
        <f t="shared" si="27"/>
        <v>0</v>
      </c>
      <c r="N42" s="241">
        <f t="shared" si="27"/>
        <v>0</v>
      </c>
      <c r="O42" s="241">
        <f t="shared" si="27"/>
        <v>0</v>
      </c>
      <c r="P42" s="241">
        <f t="shared" si="27"/>
        <v>0</v>
      </c>
      <c r="Q42" s="241">
        <f t="shared" si="27"/>
        <v>0</v>
      </c>
      <c r="R42" s="241">
        <f t="shared" si="27"/>
        <v>0</v>
      </c>
      <c r="S42" s="241">
        <f t="shared" si="27"/>
        <v>0</v>
      </c>
      <c r="T42" s="241">
        <f t="shared" si="27"/>
        <v>0</v>
      </c>
      <c r="U42" s="241">
        <f t="shared" si="27"/>
        <v>0</v>
      </c>
      <c r="V42" s="241">
        <f t="shared" si="27"/>
        <v>0</v>
      </c>
      <c r="W42" s="241">
        <f t="shared" si="27"/>
        <v>0</v>
      </c>
      <c r="X42" s="241">
        <f t="shared" si="27"/>
        <v>0</v>
      </c>
      <c r="Y42" s="241">
        <f t="shared" si="27"/>
        <v>0</v>
      </c>
      <c r="Z42" s="241">
        <f t="shared" si="27"/>
        <v>0</v>
      </c>
      <c r="AA42" s="241">
        <f t="shared" si="27"/>
        <v>0</v>
      </c>
      <c r="AB42" s="241">
        <f t="shared" si="27"/>
        <v>0</v>
      </c>
      <c r="AC42" s="241">
        <f t="shared" si="27"/>
        <v>0</v>
      </c>
      <c r="AD42" s="241">
        <f t="shared" si="27"/>
        <v>0</v>
      </c>
      <c r="AE42" s="241">
        <f t="shared" si="27"/>
        <v>0</v>
      </c>
      <c r="AF42" s="241">
        <f t="shared" si="27"/>
        <v>0</v>
      </c>
      <c r="AG42" s="241">
        <f t="shared" si="27"/>
        <v>0</v>
      </c>
      <c r="AH42" s="241">
        <f t="shared" si="27"/>
        <v>0</v>
      </c>
      <c r="AI42" s="241">
        <f t="shared" si="27"/>
        <v>0</v>
      </c>
      <c r="AJ42" s="241">
        <f t="shared" si="27"/>
        <v>0</v>
      </c>
      <c r="AK42" s="241">
        <f t="shared" si="27"/>
        <v>0</v>
      </c>
      <c r="AL42" s="241">
        <f t="shared" si="27"/>
        <v>0</v>
      </c>
      <c r="AM42" s="241">
        <f t="shared" si="27"/>
        <v>0</v>
      </c>
      <c r="AN42" s="241">
        <f t="shared" ref="AN42:BS42" si="28">AN20-AN38</f>
        <v>0</v>
      </c>
      <c r="AO42" s="241">
        <f t="shared" si="28"/>
        <v>0</v>
      </c>
      <c r="AP42" s="241">
        <f t="shared" si="28"/>
        <v>0</v>
      </c>
      <c r="AQ42" s="241">
        <f t="shared" si="28"/>
        <v>0</v>
      </c>
      <c r="AR42" s="241">
        <f t="shared" si="28"/>
        <v>0</v>
      </c>
      <c r="AS42" s="241">
        <f t="shared" si="28"/>
        <v>0</v>
      </c>
      <c r="AT42" s="241">
        <f t="shared" si="28"/>
        <v>0</v>
      </c>
      <c r="AU42" s="241">
        <f t="shared" si="28"/>
        <v>0</v>
      </c>
      <c r="AV42" s="241">
        <f t="shared" si="28"/>
        <v>0</v>
      </c>
      <c r="AW42" s="241">
        <f t="shared" si="28"/>
        <v>0</v>
      </c>
      <c r="AX42" s="241">
        <f t="shared" si="28"/>
        <v>0</v>
      </c>
      <c r="AY42" s="241">
        <f t="shared" si="28"/>
        <v>0</v>
      </c>
      <c r="AZ42" s="241">
        <f t="shared" si="28"/>
        <v>0</v>
      </c>
      <c r="BA42" s="241">
        <f t="shared" si="28"/>
        <v>0</v>
      </c>
      <c r="BB42" s="241">
        <f t="shared" si="28"/>
        <v>0</v>
      </c>
      <c r="BC42" s="241">
        <f t="shared" si="28"/>
        <v>0</v>
      </c>
      <c r="BD42" s="241">
        <f t="shared" si="28"/>
        <v>0</v>
      </c>
      <c r="BE42" s="241">
        <f t="shared" si="28"/>
        <v>0</v>
      </c>
      <c r="BF42" s="241">
        <f t="shared" si="28"/>
        <v>0</v>
      </c>
      <c r="BG42" s="241">
        <f t="shared" si="28"/>
        <v>0</v>
      </c>
      <c r="BH42" s="241">
        <f t="shared" si="28"/>
        <v>0</v>
      </c>
      <c r="BI42" s="241">
        <f t="shared" si="28"/>
        <v>0</v>
      </c>
      <c r="BJ42" s="241">
        <f t="shared" si="28"/>
        <v>0</v>
      </c>
      <c r="BK42" s="241">
        <f t="shared" si="28"/>
        <v>0</v>
      </c>
      <c r="BL42" s="241">
        <f t="shared" si="28"/>
        <v>0</v>
      </c>
      <c r="BM42" s="241">
        <f t="shared" si="28"/>
        <v>0</v>
      </c>
      <c r="BN42" s="241">
        <f t="shared" si="28"/>
        <v>0</v>
      </c>
      <c r="BO42" s="241">
        <f t="shared" si="28"/>
        <v>0</v>
      </c>
      <c r="BP42" s="241">
        <f t="shared" si="28"/>
        <v>0</v>
      </c>
      <c r="BQ42" s="241">
        <f t="shared" si="28"/>
        <v>0</v>
      </c>
      <c r="BR42" s="241">
        <f t="shared" si="28"/>
        <v>0</v>
      </c>
      <c r="BS42" s="241">
        <f t="shared" si="28"/>
        <v>0</v>
      </c>
      <c r="BT42" s="241">
        <f t="shared" ref="BT42:DC42" si="29">BT20-BT38</f>
        <v>0</v>
      </c>
      <c r="BU42" s="241">
        <f t="shared" si="29"/>
        <v>0</v>
      </c>
      <c r="BV42" s="241">
        <f t="shared" si="29"/>
        <v>0</v>
      </c>
      <c r="BW42" s="241">
        <f t="shared" si="29"/>
        <v>0</v>
      </c>
      <c r="BX42" s="241">
        <f t="shared" si="29"/>
        <v>0</v>
      </c>
      <c r="BY42" s="241">
        <f t="shared" si="29"/>
        <v>0</v>
      </c>
      <c r="BZ42" s="241">
        <f t="shared" si="29"/>
        <v>0</v>
      </c>
      <c r="CA42" s="241">
        <f t="shared" si="29"/>
        <v>0</v>
      </c>
      <c r="CB42" s="241">
        <f t="shared" si="29"/>
        <v>0</v>
      </c>
      <c r="CC42" s="241">
        <f t="shared" si="29"/>
        <v>0</v>
      </c>
      <c r="CD42" s="241">
        <f t="shared" si="29"/>
        <v>0</v>
      </c>
      <c r="CE42" s="241">
        <f t="shared" si="29"/>
        <v>0</v>
      </c>
      <c r="CF42" s="241">
        <f t="shared" si="29"/>
        <v>0</v>
      </c>
      <c r="CG42" s="241">
        <f t="shared" si="29"/>
        <v>0</v>
      </c>
      <c r="CH42" s="241">
        <f t="shared" si="29"/>
        <v>0</v>
      </c>
      <c r="CI42" s="241">
        <f t="shared" si="29"/>
        <v>0</v>
      </c>
      <c r="CJ42" s="241">
        <f t="shared" si="29"/>
        <v>0</v>
      </c>
      <c r="CK42" s="241">
        <f t="shared" si="29"/>
        <v>0</v>
      </c>
      <c r="CL42" s="241">
        <f t="shared" si="29"/>
        <v>0</v>
      </c>
      <c r="CM42" s="241">
        <f t="shared" si="29"/>
        <v>0</v>
      </c>
      <c r="CN42" s="241">
        <f t="shared" si="29"/>
        <v>0</v>
      </c>
      <c r="CO42" s="241">
        <f t="shared" si="29"/>
        <v>0</v>
      </c>
      <c r="CP42" s="241">
        <f t="shared" si="29"/>
        <v>0</v>
      </c>
      <c r="CQ42" s="241">
        <f t="shared" si="29"/>
        <v>0</v>
      </c>
      <c r="CR42" s="241">
        <f t="shared" si="29"/>
        <v>0</v>
      </c>
      <c r="CS42" s="241">
        <f t="shared" si="29"/>
        <v>0</v>
      </c>
      <c r="CT42" s="241">
        <f t="shared" si="29"/>
        <v>0</v>
      </c>
      <c r="CU42" s="241">
        <f t="shared" si="29"/>
        <v>0</v>
      </c>
      <c r="CV42" s="241">
        <f t="shared" si="29"/>
        <v>0</v>
      </c>
      <c r="CW42" s="241">
        <f t="shared" si="29"/>
        <v>0</v>
      </c>
      <c r="CX42" s="241">
        <f t="shared" si="29"/>
        <v>0</v>
      </c>
      <c r="CY42" s="241">
        <f t="shared" si="29"/>
        <v>0</v>
      </c>
      <c r="CZ42" s="241">
        <f t="shared" si="29"/>
        <v>0</v>
      </c>
      <c r="DA42" s="241">
        <f t="shared" si="29"/>
        <v>0</v>
      </c>
      <c r="DB42" s="241">
        <f t="shared" si="29"/>
        <v>0</v>
      </c>
      <c r="DC42" s="241">
        <f t="shared" si="29"/>
        <v>0</v>
      </c>
    </row>
    <row r="43" spans="2:107" ht="15" customHeight="1" x14ac:dyDescent="0.25">
      <c r="B43" s="515">
        <v>20</v>
      </c>
      <c r="C43" s="249" t="s">
        <v>4244</v>
      </c>
      <c r="D43" s="250">
        <f>'Escolha tarifa'!F17</f>
        <v>0</v>
      </c>
      <c r="E43" s="558" t="s">
        <v>3912</v>
      </c>
      <c r="F43" s="232" t="s">
        <v>4245</v>
      </c>
      <c r="G43" s="251">
        <f t="shared" ref="G43:AL43" si="30">IF(G20=0,0,G42/G20)</f>
        <v>0</v>
      </c>
      <c r="H43" s="252">
        <f t="shared" si="30"/>
        <v>0</v>
      </c>
      <c r="I43" s="252">
        <f t="shared" si="30"/>
        <v>0</v>
      </c>
      <c r="J43" s="252">
        <f t="shared" si="30"/>
        <v>0</v>
      </c>
      <c r="K43" s="252">
        <f t="shared" si="30"/>
        <v>0</v>
      </c>
      <c r="L43" s="252">
        <f t="shared" si="30"/>
        <v>0</v>
      </c>
      <c r="M43" s="252">
        <f t="shared" si="30"/>
        <v>0</v>
      </c>
      <c r="N43" s="252">
        <f t="shared" si="30"/>
        <v>0</v>
      </c>
      <c r="O43" s="252">
        <f t="shared" si="30"/>
        <v>0</v>
      </c>
      <c r="P43" s="252">
        <f t="shared" si="30"/>
        <v>0</v>
      </c>
      <c r="Q43" s="252">
        <f t="shared" si="30"/>
        <v>0</v>
      </c>
      <c r="R43" s="252">
        <f t="shared" si="30"/>
        <v>0</v>
      </c>
      <c r="S43" s="252">
        <f t="shared" si="30"/>
        <v>0</v>
      </c>
      <c r="T43" s="252">
        <f t="shared" si="30"/>
        <v>0</v>
      </c>
      <c r="U43" s="252">
        <f t="shared" si="30"/>
        <v>0</v>
      </c>
      <c r="V43" s="252">
        <f t="shared" si="30"/>
        <v>0</v>
      </c>
      <c r="W43" s="252">
        <f t="shared" si="30"/>
        <v>0</v>
      </c>
      <c r="X43" s="252">
        <f t="shared" si="30"/>
        <v>0</v>
      </c>
      <c r="Y43" s="252">
        <f t="shared" si="30"/>
        <v>0</v>
      </c>
      <c r="Z43" s="252">
        <f t="shared" si="30"/>
        <v>0</v>
      </c>
      <c r="AA43" s="252">
        <f t="shared" si="30"/>
        <v>0</v>
      </c>
      <c r="AB43" s="252">
        <f t="shared" si="30"/>
        <v>0</v>
      </c>
      <c r="AC43" s="252">
        <f t="shared" si="30"/>
        <v>0</v>
      </c>
      <c r="AD43" s="252">
        <f t="shared" si="30"/>
        <v>0</v>
      </c>
      <c r="AE43" s="252">
        <f t="shared" si="30"/>
        <v>0</v>
      </c>
      <c r="AF43" s="252">
        <f t="shared" si="30"/>
        <v>0</v>
      </c>
      <c r="AG43" s="252">
        <f t="shared" si="30"/>
        <v>0</v>
      </c>
      <c r="AH43" s="252">
        <f t="shared" si="30"/>
        <v>0</v>
      </c>
      <c r="AI43" s="252">
        <f t="shared" si="30"/>
        <v>0</v>
      </c>
      <c r="AJ43" s="252">
        <f t="shared" si="30"/>
        <v>0</v>
      </c>
      <c r="AK43" s="252">
        <f t="shared" si="30"/>
        <v>0</v>
      </c>
      <c r="AL43" s="252">
        <f t="shared" si="30"/>
        <v>0</v>
      </c>
      <c r="AM43" s="252">
        <f t="shared" ref="AM43:BR43" si="31">IF(AM20=0,0,AM42/AM20)</f>
        <v>0</v>
      </c>
      <c r="AN43" s="252">
        <f t="shared" si="31"/>
        <v>0</v>
      </c>
      <c r="AO43" s="252">
        <f t="shared" si="31"/>
        <v>0</v>
      </c>
      <c r="AP43" s="252">
        <f t="shared" si="31"/>
        <v>0</v>
      </c>
      <c r="AQ43" s="252">
        <f t="shared" si="31"/>
        <v>0</v>
      </c>
      <c r="AR43" s="252">
        <f t="shared" si="31"/>
        <v>0</v>
      </c>
      <c r="AS43" s="252">
        <f t="shared" si="31"/>
        <v>0</v>
      </c>
      <c r="AT43" s="252">
        <f t="shared" si="31"/>
        <v>0</v>
      </c>
      <c r="AU43" s="252">
        <f t="shared" si="31"/>
        <v>0</v>
      </c>
      <c r="AV43" s="252">
        <f t="shared" si="31"/>
        <v>0</v>
      </c>
      <c r="AW43" s="252">
        <f t="shared" si="31"/>
        <v>0</v>
      </c>
      <c r="AX43" s="252">
        <f t="shared" si="31"/>
        <v>0</v>
      </c>
      <c r="AY43" s="252">
        <f t="shared" si="31"/>
        <v>0</v>
      </c>
      <c r="AZ43" s="252">
        <f t="shared" si="31"/>
        <v>0</v>
      </c>
      <c r="BA43" s="252">
        <f t="shared" si="31"/>
        <v>0</v>
      </c>
      <c r="BB43" s="252">
        <f t="shared" si="31"/>
        <v>0</v>
      </c>
      <c r="BC43" s="252">
        <f t="shared" si="31"/>
        <v>0</v>
      </c>
      <c r="BD43" s="252">
        <f t="shared" si="31"/>
        <v>0</v>
      </c>
      <c r="BE43" s="252">
        <f t="shared" si="31"/>
        <v>0</v>
      </c>
      <c r="BF43" s="252">
        <f t="shared" si="31"/>
        <v>0</v>
      </c>
      <c r="BG43" s="252">
        <f t="shared" si="31"/>
        <v>0</v>
      </c>
      <c r="BH43" s="252">
        <f t="shared" si="31"/>
        <v>0</v>
      </c>
      <c r="BI43" s="252">
        <f t="shared" si="31"/>
        <v>0</v>
      </c>
      <c r="BJ43" s="252">
        <f t="shared" si="31"/>
        <v>0</v>
      </c>
      <c r="BK43" s="252">
        <f t="shared" si="31"/>
        <v>0</v>
      </c>
      <c r="BL43" s="252">
        <f t="shared" si="31"/>
        <v>0</v>
      </c>
      <c r="BM43" s="252">
        <f t="shared" si="31"/>
        <v>0</v>
      </c>
      <c r="BN43" s="252">
        <f t="shared" si="31"/>
        <v>0</v>
      </c>
      <c r="BO43" s="252">
        <f t="shared" si="31"/>
        <v>0</v>
      </c>
      <c r="BP43" s="252">
        <f t="shared" si="31"/>
        <v>0</v>
      </c>
      <c r="BQ43" s="252">
        <f t="shared" si="31"/>
        <v>0</v>
      </c>
      <c r="BR43" s="252">
        <f t="shared" si="31"/>
        <v>0</v>
      </c>
      <c r="BS43" s="252">
        <f t="shared" ref="BS43:CX43" si="32">IF(BS20=0,0,BS42/BS20)</f>
        <v>0</v>
      </c>
      <c r="BT43" s="252">
        <f t="shared" si="32"/>
        <v>0</v>
      </c>
      <c r="BU43" s="252">
        <f t="shared" si="32"/>
        <v>0</v>
      </c>
      <c r="BV43" s="252">
        <f t="shared" si="32"/>
        <v>0</v>
      </c>
      <c r="BW43" s="252">
        <f t="shared" si="32"/>
        <v>0</v>
      </c>
      <c r="BX43" s="252">
        <f t="shared" si="32"/>
        <v>0</v>
      </c>
      <c r="BY43" s="252">
        <f t="shared" si="32"/>
        <v>0</v>
      </c>
      <c r="BZ43" s="252">
        <f t="shared" si="32"/>
        <v>0</v>
      </c>
      <c r="CA43" s="252">
        <f t="shared" si="32"/>
        <v>0</v>
      </c>
      <c r="CB43" s="252">
        <f t="shared" si="32"/>
        <v>0</v>
      </c>
      <c r="CC43" s="252">
        <f t="shared" si="32"/>
        <v>0</v>
      </c>
      <c r="CD43" s="252">
        <f t="shared" si="32"/>
        <v>0</v>
      </c>
      <c r="CE43" s="252">
        <f t="shared" si="32"/>
        <v>0</v>
      </c>
      <c r="CF43" s="252">
        <f t="shared" si="32"/>
        <v>0</v>
      </c>
      <c r="CG43" s="252">
        <f t="shared" si="32"/>
        <v>0</v>
      </c>
      <c r="CH43" s="252">
        <f t="shared" si="32"/>
        <v>0</v>
      </c>
      <c r="CI43" s="252">
        <f t="shared" si="32"/>
        <v>0</v>
      </c>
      <c r="CJ43" s="252">
        <f t="shared" si="32"/>
        <v>0</v>
      </c>
      <c r="CK43" s="252">
        <f t="shared" si="32"/>
        <v>0</v>
      </c>
      <c r="CL43" s="252">
        <f t="shared" si="32"/>
        <v>0</v>
      </c>
      <c r="CM43" s="252">
        <f t="shared" si="32"/>
        <v>0</v>
      </c>
      <c r="CN43" s="252">
        <f t="shared" si="32"/>
        <v>0</v>
      </c>
      <c r="CO43" s="252">
        <f t="shared" si="32"/>
        <v>0</v>
      </c>
      <c r="CP43" s="252">
        <f t="shared" si="32"/>
        <v>0</v>
      </c>
      <c r="CQ43" s="252">
        <f t="shared" si="32"/>
        <v>0</v>
      </c>
      <c r="CR43" s="252">
        <f t="shared" si="32"/>
        <v>0</v>
      </c>
      <c r="CS43" s="252">
        <f t="shared" si="32"/>
        <v>0</v>
      </c>
      <c r="CT43" s="252">
        <f t="shared" si="32"/>
        <v>0</v>
      </c>
      <c r="CU43" s="252">
        <f t="shared" si="32"/>
        <v>0</v>
      </c>
      <c r="CV43" s="252">
        <f t="shared" si="32"/>
        <v>0</v>
      </c>
      <c r="CW43" s="252">
        <f t="shared" si="32"/>
        <v>0</v>
      </c>
      <c r="CX43" s="252">
        <f t="shared" si="32"/>
        <v>0</v>
      </c>
      <c r="CY43" s="252">
        <f t="shared" ref="CY43:DC43" si="33">IF(CY20=0,0,CY42/CY20)</f>
        <v>0</v>
      </c>
      <c r="CZ43" s="252">
        <f t="shared" si="33"/>
        <v>0</v>
      </c>
      <c r="DA43" s="252">
        <f t="shared" si="33"/>
        <v>0</v>
      </c>
      <c r="DB43" s="252">
        <f t="shared" si="33"/>
        <v>0</v>
      </c>
      <c r="DC43" s="252">
        <f t="shared" si="33"/>
        <v>0</v>
      </c>
    </row>
    <row r="44" spans="2:107" ht="15" customHeight="1" x14ac:dyDescent="0.25">
      <c r="B44" s="515">
        <v>21</v>
      </c>
      <c r="C44" s="248" t="s">
        <v>3900</v>
      </c>
      <c r="D44" s="248"/>
      <c r="E44" s="557" t="s">
        <v>3854</v>
      </c>
      <c r="F44" s="232" t="s">
        <v>4246</v>
      </c>
      <c r="G44" s="243">
        <f>SUM(H44:DC44)</f>
        <v>0</v>
      </c>
      <c r="H44" s="241">
        <f t="shared" ref="H44:AM44" si="34">H19-H37</f>
        <v>0</v>
      </c>
      <c r="I44" s="241">
        <f>I19-I37</f>
        <v>0</v>
      </c>
      <c r="J44" s="241">
        <f t="shared" si="34"/>
        <v>0</v>
      </c>
      <c r="K44" s="241">
        <f t="shared" si="34"/>
        <v>0</v>
      </c>
      <c r="L44" s="241">
        <f t="shared" si="34"/>
        <v>0</v>
      </c>
      <c r="M44" s="241">
        <f t="shared" si="34"/>
        <v>0</v>
      </c>
      <c r="N44" s="241">
        <f t="shared" si="34"/>
        <v>0</v>
      </c>
      <c r="O44" s="241">
        <f t="shared" si="34"/>
        <v>0</v>
      </c>
      <c r="P44" s="241">
        <f t="shared" si="34"/>
        <v>0</v>
      </c>
      <c r="Q44" s="241">
        <f t="shared" si="34"/>
        <v>0</v>
      </c>
      <c r="R44" s="241">
        <f t="shared" si="34"/>
        <v>0</v>
      </c>
      <c r="S44" s="241">
        <f t="shared" si="34"/>
        <v>0</v>
      </c>
      <c r="T44" s="241">
        <f t="shared" si="34"/>
        <v>0</v>
      </c>
      <c r="U44" s="241">
        <f t="shared" si="34"/>
        <v>0</v>
      </c>
      <c r="V44" s="241">
        <f t="shared" si="34"/>
        <v>0</v>
      </c>
      <c r="W44" s="241">
        <f t="shared" si="34"/>
        <v>0</v>
      </c>
      <c r="X44" s="241">
        <f t="shared" si="34"/>
        <v>0</v>
      </c>
      <c r="Y44" s="241">
        <f t="shared" si="34"/>
        <v>0</v>
      </c>
      <c r="Z44" s="241">
        <f t="shared" si="34"/>
        <v>0</v>
      </c>
      <c r="AA44" s="241">
        <f t="shared" si="34"/>
        <v>0</v>
      </c>
      <c r="AB44" s="241">
        <f t="shared" si="34"/>
        <v>0</v>
      </c>
      <c r="AC44" s="241">
        <f t="shared" si="34"/>
        <v>0</v>
      </c>
      <c r="AD44" s="241">
        <f t="shared" si="34"/>
        <v>0</v>
      </c>
      <c r="AE44" s="241">
        <f t="shared" si="34"/>
        <v>0</v>
      </c>
      <c r="AF44" s="241">
        <f t="shared" si="34"/>
        <v>0</v>
      </c>
      <c r="AG44" s="241">
        <f t="shared" si="34"/>
        <v>0</v>
      </c>
      <c r="AH44" s="241">
        <f t="shared" si="34"/>
        <v>0</v>
      </c>
      <c r="AI44" s="241">
        <f t="shared" si="34"/>
        <v>0</v>
      </c>
      <c r="AJ44" s="241">
        <f t="shared" si="34"/>
        <v>0</v>
      </c>
      <c r="AK44" s="241">
        <f t="shared" si="34"/>
        <v>0</v>
      </c>
      <c r="AL44" s="241">
        <f t="shared" si="34"/>
        <v>0</v>
      </c>
      <c r="AM44" s="241">
        <f t="shared" si="34"/>
        <v>0</v>
      </c>
      <c r="AN44" s="241">
        <f t="shared" ref="AN44:BS44" si="35">AN19-AN37</f>
        <v>0</v>
      </c>
      <c r="AO44" s="241">
        <f t="shared" si="35"/>
        <v>0</v>
      </c>
      <c r="AP44" s="241">
        <f t="shared" si="35"/>
        <v>0</v>
      </c>
      <c r="AQ44" s="241">
        <f t="shared" si="35"/>
        <v>0</v>
      </c>
      <c r="AR44" s="241">
        <f t="shared" si="35"/>
        <v>0</v>
      </c>
      <c r="AS44" s="241">
        <f t="shared" si="35"/>
        <v>0</v>
      </c>
      <c r="AT44" s="241">
        <f t="shared" si="35"/>
        <v>0</v>
      </c>
      <c r="AU44" s="241">
        <f t="shared" si="35"/>
        <v>0</v>
      </c>
      <c r="AV44" s="241">
        <f t="shared" si="35"/>
        <v>0</v>
      </c>
      <c r="AW44" s="241">
        <f t="shared" si="35"/>
        <v>0</v>
      </c>
      <c r="AX44" s="241">
        <f t="shared" si="35"/>
        <v>0</v>
      </c>
      <c r="AY44" s="241">
        <f t="shared" si="35"/>
        <v>0</v>
      </c>
      <c r="AZ44" s="241">
        <f t="shared" si="35"/>
        <v>0</v>
      </c>
      <c r="BA44" s="241">
        <f t="shared" si="35"/>
        <v>0</v>
      </c>
      <c r="BB44" s="241">
        <f t="shared" si="35"/>
        <v>0</v>
      </c>
      <c r="BC44" s="241">
        <f t="shared" si="35"/>
        <v>0</v>
      </c>
      <c r="BD44" s="241">
        <f t="shared" si="35"/>
        <v>0</v>
      </c>
      <c r="BE44" s="241">
        <f t="shared" si="35"/>
        <v>0</v>
      </c>
      <c r="BF44" s="241">
        <f t="shared" si="35"/>
        <v>0</v>
      </c>
      <c r="BG44" s="241">
        <f t="shared" si="35"/>
        <v>0</v>
      </c>
      <c r="BH44" s="241">
        <f t="shared" si="35"/>
        <v>0</v>
      </c>
      <c r="BI44" s="241">
        <f t="shared" si="35"/>
        <v>0</v>
      </c>
      <c r="BJ44" s="241">
        <f t="shared" si="35"/>
        <v>0</v>
      </c>
      <c r="BK44" s="241">
        <f t="shared" si="35"/>
        <v>0</v>
      </c>
      <c r="BL44" s="241">
        <f t="shared" si="35"/>
        <v>0</v>
      </c>
      <c r="BM44" s="241">
        <f t="shared" si="35"/>
        <v>0</v>
      </c>
      <c r="BN44" s="241">
        <f t="shared" si="35"/>
        <v>0</v>
      </c>
      <c r="BO44" s="241">
        <f t="shared" si="35"/>
        <v>0</v>
      </c>
      <c r="BP44" s="241">
        <f t="shared" si="35"/>
        <v>0</v>
      </c>
      <c r="BQ44" s="241">
        <f t="shared" si="35"/>
        <v>0</v>
      </c>
      <c r="BR44" s="241">
        <f t="shared" si="35"/>
        <v>0</v>
      </c>
      <c r="BS44" s="241">
        <f t="shared" si="35"/>
        <v>0</v>
      </c>
      <c r="BT44" s="241">
        <f t="shared" ref="BT44:DC44" si="36">BT19-BT37</f>
        <v>0</v>
      </c>
      <c r="BU44" s="241">
        <f t="shared" si="36"/>
        <v>0</v>
      </c>
      <c r="BV44" s="241">
        <f t="shared" si="36"/>
        <v>0</v>
      </c>
      <c r="BW44" s="241">
        <f t="shared" si="36"/>
        <v>0</v>
      </c>
      <c r="BX44" s="241">
        <f t="shared" si="36"/>
        <v>0</v>
      </c>
      <c r="BY44" s="241">
        <f t="shared" si="36"/>
        <v>0</v>
      </c>
      <c r="BZ44" s="241">
        <f t="shared" si="36"/>
        <v>0</v>
      </c>
      <c r="CA44" s="241">
        <f t="shared" si="36"/>
        <v>0</v>
      </c>
      <c r="CB44" s="241">
        <f t="shared" si="36"/>
        <v>0</v>
      </c>
      <c r="CC44" s="241">
        <f t="shared" si="36"/>
        <v>0</v>
      </c>
      <c r="CD44" s="241">
        <f t="shared" si="36"/>
        <v>0</v>
      </c>
      <c r="CE44" s="241">
        <f t="shared" si="36"/>
        <v>0</v>
      </c>
      <c r="CF44" s="241">
        <f t="shared" si="36"/>
        <v>0</v>
      </c>
      <c r="CG44" s="241">
        <f t="shared" si="36"/>
        <v>0</v>
      </c>
      <c r="CH44" s="241">
        <f t="shared" si="36"/>
        <v>0</v>
      </c>
      <c r="CI44" s="241">
        <f t="shared" si="36"/>
        <v>0</v>
      </c>
      <c r="CJ44" s="241">
        <f t="shared" si="36"/>
        <v>0</v>
      </c>
      <c r="CK44" s="241">
        <f t="shared" si="36"/>
        <v>0</v>
      </c>
      <c r="CL44" s="241">
        <f t="shared" si="36"/>
        <v>0</v>
      </c>
      <c r="CM44" s="241">
        <f t="shared" si="36"/>
        <v>0</v>
      </c>
      <c r="CN44" s="241">
        <f t="shared" si="36"/>
        <v>0</v>
      </c>
      <c r="CO44" s="241">
        <f t="shared" si="36"/>
        <v>0</v>
      </c>
      <c r="CP44" s="241">
        <f t="shared" si="36"/>
        <v>0</v>
      </c>
      <c r="CQ44" s="241">
        <f t="shared" si="36"/>
        <v>0</v>
      </c>
      <c r="CR44" s="241">
        <f t="shared" si="36"/>
        <v>0</v>
      </c>
      <c r="CS44" s="241">
        <f t="shared" si="36"/>
        <v>0</v>
      </c>
      <c r="CT44" s="241">
        <f t="shared" si="36"/>
        <v>0</v>
      </c>
      <c r="CU44" s="241">
        <f t="shared" si="36"/>
        <v>0</v>
      </c>
      <c r="CV44" s="241">
        <f t="shared" si="36"/>
        <v>0</v>
      </c>
      <c r="CW44" s="241">
        <f t="shared" si="36"/>
        <v>0</v>
      </c>
      <c r="CX44" s="241">
        <f t="shared" si="36"/>
        <v>0</v>
      </c>
      <c r="CY44" s="241">
        <f t="shared" si="36"/>
        <v>0</v>
      </c>
      <c r="CZ44" s="241">
        <f t="shared" si="36"/>
        <v>0</v>
      </c>
      <c r="DA44" s="241">
        <f t="shared" si="36"/>
        <v>0</v>
      </c>
      <c r="DB44" s="241">
        <f t="shared" si="36"/>
        <v>0</v>
      </c>
      <c r="DC44" s="241">
        <f t="shared" si="36"/>
        <v>0</v>
      </c>
    </row>
    <row r="45" spans="2:107" ht="15" customHeight="1" x14ac:dyDescent="0.25">
      <c r="B45" s="515">
        <v>22</v>
      </c>
      <c r="C45" s="249" t="s">
        <v>4247</v>
      </c>
      <c r="D45" s="250">
        <f>'Escolha tarifa'!E17</f>
        <v>0</v>
      </c>
      <c r="E45" s="558" t="s">
        <v>3912</v>
      </c>
      <c r="F45" s="232" t="s">
        <v>4248</v>
      </c>
      <c r="G45" s="251">
        <f t="shared" ref="G45:AL45" si="37">IF(G19=0,0,G44/G19)</f>
        <v>0</v>
      </c>
      <c r="H45" s="252">
        <f t="shared" si="37"/>
        <v>0</v>
      </c>
      <c r="I45" s="252">
        <f t="shared" si="37"/>
        <v>0</v>
      </c>
      <c r="J45" s="252">
        <f t="shared" si="37"/>
        <v>0</v>
      </c>
      <c r="K45" s="252">
        <f t="shared" si="37"/>
        <v>0</v>
      </c>
      <c r="L45" s="252">
        <f t="shared" si="37"/>
        <v>0</v>
      </c>
      <c r="M45" s="252">
        <f t="shared" si="37"/>
        <v>0</v>
      </c>
      <c r="N45" s="252">
        <f t="shared" si="37"/>
        <v>0</v>
      </c>
      <c r="O45" s="252">
        <f t="shared" si="37"/>
        <v>0</v>
      </c>
      <c r="P45" s="252">
        <f t="shared" si="37"/>
        <v>0</v>
      </c>
      <c r="Q45" s="252">
        <f t="shared" si="37"/>
        <v>0</v>
      </c>
      <c r="R45" s="252">
        <f t="shared" si="37"/>
        <v>0</v>
      </c>
      <c r="S45" s="252">
        <f t="shared" si="37"/>
        <v>0</v>
      </c>
      <c r="T45" s="252">
        <f t="shared" si="37"/>
        <v>0</v>
      </c>
      <c r="U45" s="252">
        <f t="shared" si="37"/>
        <v>0</v>
      </c>
      <c r="V45" s="252">
        <f t="shared" si="37"/>
        <v>0</v>
      </c>
      <c r="W45" s="252">
        <f t="shared" si="37"/>
        <v>0</v>
      </c>
      <c r="X45" s="252">
        <f t="shared" si="37"/>
        <v>0</v>
      </c>
      <c r="Y45" s="252">
        <f t="shared" si="37"/>
        <v>0</v>
      </c>
      <c r="Z45" s="252">
        <f t="shared" si="37"/>
        <v>0</v>
      </c>
      <c r="AA45" s="252">
        <f t="shared" si="37"/>
        <v>0</v>
      </c>
      <c r="AB45" s="252">
        <f t="shared" si="37"/>
        <v>0</v>
      </c>
      <c r="AC45" s="252">
        <f t="shared" si="37"/>
        <v>0</v>
      </c>
      <c r="AD45" s="252">
        <f t="shared" si="37"/>
        <v>0</v>
      </c>
      <c r="AE45" s="252">
        <f t="shared" si="37"/>
        <v>0</v>
      </c>
      <c r="AF45" s="252">
        <f t="shared" si="37"/>
        <v>0</v>
      </c>
      <c r="AG45" s="252">
        <f t="shared" si="37"/>
        <v>0</v>
      </c>
      <c r="AH45" s="252">
        <f t="shared" si="37"/>
        <v>0</v>
      </c>
      <c r="AI45" s="252">
        <f t="shared" si="37"/>
        <v>0</v>
      </c>
      <c r="AJ45" s="252">
        <f t="shared" si="37"/>
        <v>0</v>
      </c>
      <c r="AK45" s="252">
        <f t="shared" si="37"/>
        <v>0</v>
      </c>
      <c r="AL45" s="252">
        <f t="shared" si="37"/>
        <v>0</v>
      </c>
      <c r="AM45" s="252">
        <f t="shared" ref="AM45:BR45" si="38">IF(AM19=0,0,AM44/AM19)</f>
        <v>0</v>
      </c>
      <c r="AN45" s="252">
        <f t="shared" si="38"/>
        <v>0</v>
      </c>
      <c r="AO45" s="252">
        <f t="shared" si="38"/>
        <v>0</v>
      </c>
      <c r="AP45" s="252">
        <f t="shared" si="38"/>
        <v>0</v>
      </c>
      <c r="AQ45" s="252">
        <f t="shared" si="38"/>
        <v>0</v>
      </c>
      <c r="AR45" s="252">
        <f t="shared" si="38"/>
        <v>0</v>
      </c>
      <c r="AS45" s="252">
        <f t="shared" si="38"/>
        <v>0</v>
      </c>
      <c r="AT45" s="252">
        <f t="shared" si="38"/>
        <v>0</v>
      </c>
      <c r="AU45" s="252">
        <f t="shared" si="38"/>
        <v>0</v>
      </c>
      <c r="AV45" s="252">
        <f t="shared" si="38"/>
        <v>0</v>
      </c>
      <c r="AW45" s="252">
        <f t="shared" si="38"/>
        <v>0</v>
      </c>
      <c r="AX45" s="252">
        <f t="shared" si="38"/>
        <v>0</v>
      </c>
      <c r="AY45" s="252">
        <f t="shared" si="38"/>
        <v>0</v>
      </c>
      <c r="AZ45" s="252">
        <f t="shared" si="38"/>
        <v>0</v>
      </c>
      <c r="BA45" s="252">
        <f t="shared" si="38"/>
        <v>0</v>
      </c>
      <c r="BB45" s="252">
        <f t="shared" si="38"/>
        <v>0</v>
      </c>
      <c r="BC45" s="252">
        <f t="shared" si="38"/>
        <v>0</v>
      </c>
      <c r="BD45" s="252">
        <f t="shared" si="38"/>
        <v>0</v>
      </c>
      <c r="BE45" s="252">
        <f t="shared" si="38"/>
        <v>0</v>
      </c>
      <c r="BF45" s="252">
        <f t="shared" si="38"/>
        <v>0</v>
      </c>
      <c r="BG45" s="252">
        <f t="shared" si="38"/>
        <v>0</v>
      </c>
      <c r="BH45" s="252">
        <f t="shared" si="38"/>
        <v>0</v>
      </c>
      <c r="BI45" s="252">
        <f t="shared" si="38"/>
        <v>0</v>
      </c>
      <c r="BJ45" s="252">
        <f t="shared" si="38"/>
        <v>0</v>
      </c>
      <c r="BK45" s="252">
        <f t="shared" si="38"/>
        <v>0</v>
      </c>
      <c r="BL45" s="252">
        <f t="shared" si="38"/>
        <v>0</v>
      </c>
      <c r="BM45" s="252">
        <f t="shared" si="38"/>
        <v>0</v>
      </c>
      <c r="BN45" s="252">
        <f t="shared" si="38"/>
        <v>0</v>
      </c>
      <c r="BO45" s="252">
        <f t="shared" si="38"/>
        <v>0</v>
      </c>
      <c r="BP45" s="252">
        <f t="shared" si="38"/>
        <v>0</v>
      </c>
      <c r="BQ45" s="252">
        <f t="shared" si="38"/>
        <v>0</v>
      </c>
      <c r="BR45" s="252">
        <f t="shared" si="38"/>
        <v>0</v>
      </c>
      <c r="BS45" s="252">
        <f t="shared" ref="BS45:CX45" si="39">IF(BS19=0,0,BS44/BS19)</f>
        <v>0</v>
      </c>
      <c r="BT45" s="252">
        <f t="shared" si="39"/>
        <v>0</v>
      </c>
      <c r="BU45" s="252">
        <f t="shared" si="39"/>
        <v>0</v>
      </c>
      <c r="BV45" s="252">
        <f t="shared" si="39"/>
        <v>0</v>
      </c>
      <c r="BW45" s="252">
        <f t="shared" si="39"/>
        <v>0</v>
      </c>
      <c r="BX45" s="252">
        <f t="shared" si="39"/>
        <v>0</v>
      </c>
      <c r="BY45" s="252">
        <f t="shared" si="39"/>
        <v>0</v>
      </c>
      <c r="BZ45" s="252">
        <f t="shared" si="39"/>
        <v>0</v>
      </c>
      <c r="CA45" s="252">
        <f t="shared" si="39"/>
        <v>0</v>
      </c>
      <c r="CB45" s="252">
        <f t="shared" si="39"/>
        <v>0</v>
      </c>
      <c r="CC45" s="252">
        <f t="shared" si="39"/>
        <v>0</v>
      </c>
      <c r="CD45" s="252">
        <f t="shared" si="39"/>
        <v>0</v>
      </c>
      <c r="CE45" s="252">
        <f t="shared" si="39"/>
        <v>0</v>
      </c>
      <c r="CF45" s="252">
        <f t="shared" si="39"/>
        <v>0</v>
      </c>
      <c r="CG45" s="252">
        <f t="shared" si="39"/>
        <v>0</v>
      </c>
      <c r="CH45" s="252">
        <f t="shared" si="39"/>
        <v>0</v>
      </c>
      <c r="CI45" s="252">
        <f t="shared" si="39"/>
        <v>0</v>
      </c>
      <c r="CJ45" s="252">
        <f t="shared" si="39"/>
        <v>0</v>
      </c>
      <c r="CK45" s="252">
        <f t="shared" si="39"/>
        <v>0</v>
      </c>
      <c r="CL45" s="252">
        <f t="shared" si="39"/>
        <v>0</v>
      </c>
      <c r="CM45" s="252">
        <f t="shared" si="39"/>
        <v>0</v>
      </c>
      <c r="CN45" s="252">
        <f t="shared" si="39"/>
        <v>0</v>
      </c>
      <c r="CO45" s="252">
        <f t="shared" si="39"/>
        <v>0</v>
      </c>
      <c r="CP45" s="252">
        <f t="shared" si="39"/>
        <v>0</v>
      </c>
      <c r="CQ45" s="252">
        <f t="shared" si="39"/>
        <v>0</v>
      </c>
      <c r="CR45" s="252">
        <f t="shared" si="39"/>
        <v>0</v>
      </c>
      <c r="CS45" s="252">
        <f t="shared" si="39"/>
        <v>0</v>
      </c>
      <c r="CT45" s="252">
        <f t="shared" si="39"/>
        <v>0</v>
      </c>
      <c r="CU45" s="252">
        <f t="shared" si="39"/>
        <v>0</v>
      </c>
      <c r="CV45" s="252">
        <f t="shared" si="39"/>
        <v>0</v>
      </c>
      <c r="CW45" s="252">
        <f t="shared" si="39"/>
        <v>0</v>
      </c>
      <c r="CX45" s="252">
        <f t="shared" si="39"/>
        <v>0</v>
      </c>
      <c r="CY45" s="252">
        <f t="shared" ref="CY45:DC45" si="40">IF(CY19=0,0,CY44/CY19)</f>
        <v>0</v>
      </c>
      <c r="CZ45" s="252">
        <f t="shared" si="40"/>
        <v>0</v>
      </c>
      <c r="DA45" s="252">
        <f t="shared" si="40"/>
        <v>0</v>
      </c>
      <c r="DB45" s="252">
        <f t="shared" si="40"/>
        <v>0</v>
      </c>
      <c r="DC45" s="252">
        <f t="shared" si="40"/>
        <v>0</v>
      </c>
    </row>
    <row r="46" spans="2:107" ht="15" customHeight="1" x14ac:dyDescent="0.25">
      <c r="B46" s="253"/>
      <c r="C46" s="254" t="s">
        <v>4249</v>
      </c>
      <c r="D46" s="254"/>
      <c r="E46" s="542" t="s">
        <v>3911</v>
      </c>
      <c r="F46" s="255" t="s">
        <v>4250</v>
      </c>
      <c r="G46" s="256">
        <f>SUM(H46:DC46)</f>
        <v>0</v>
      </c>
      <c r="H46" s="257">
        <f>H42*$D$43+H44*$D$45</f>
        <v>0</v>
      </c>
      <c r="I46" s="257">
        <f t="shared" ref="I46:BT46" si="41">I42*$D$43+I44*$D$45</f>
        <v>0</v>
      </c>
      <c r="J46" s="257">
        <f t="shared" si="41"/>
        <v>0</v>
      </c>
      <c r="K46" s="257">
        <f t="shared" si="41"/>
        <v>0</v>
      </c>
      <c r="L46" s="257">
        <f t="shared" si="41"/>
        <v>0</v>
      </c>
      <c r="M46" s="257">
        <f t="shared" si="41"/>
        <v>0</v>
      </c>
      <c r="N46" s="257">
        <f t="shared" si="41"/>
        <v>0</v>
      </c>
      <c r="O46" s="257">
        <f t="shared" si="41"/>
        <v>0</v>
      </c>
      <c r="P46" s="257">
        <f t="shared" si="41"/>
        <v>0</v>
      </c>
      <c r="Q46" s="257">
        <f t="shared" si="41"/>
        <v>0</v>
      </c>
      <c r="R46" s="257">
        <f t="shared" si="41"/>
        <v>0</v>
      </c>
      <c r="S46" s="257">
        <f t="shared" si="41"/>
        <v>0</v>
      </c>
      <c r="T46" s="257">
        <f t="shared" si="41"/>
        <v>0</v>
      </c>
      <c r="U46" s="257">
        <f t="shared" si="41"/>
        <v>0</v>
      </c>
      <c r="V46" s="257">
        <f t="shared" si="41"/>
        <v>0</v>
      </c>
      <c r="W46" s="257">
        <f t="shared" si="41"/>
        <v>0</v>
      </c>
      <c r="X46" s="257">
        <f t="shared" si="41"/>
        <v>0</v>
      </c>
      <c r="Y46" s="257">
        <f t="shared" si="41"/>
        <v>0</v>
      </c>
      <c r="Z46" s="257">
        <f t="shared" si="41"/>
        <v>0</v>
      </c>
      <c r="AA46" s="257">
        <f t="shared" si="41"/>
        <v>0</v>
      </c>
      <c r="AB46" s="257">
        <f t="shared" si="41"/>
        <v>0</v>
      </c>
      <c r="AC46" s="257">
        <f t="shared" si="41"/>
        <v>0</v>
      </c>
      <c r="AD46" s="257">
        <f t="shared" si="41"/>
        <v>0</v>
      </c>
      <c r="AE46" s="257">
        <f t="shared" si="41"/>
        <v>0</v>
      </c>
      <c r="AF46" s="257">
        <f t="shared" si="41"/>
        <v>0</v>
      </c>
      <c r="AG46" s="257">
        <f t="shared" si="41"/>
        <v>0</v>
      </c>
      <c r="AH46" s="257">
        <f t="shared" si="41"/>
        <v>0</v>
      </c>
      <c r="AI46" s="257">
        <f t="shared" si="41"/>
        <v>0</v>
      </c>
      <c r="AJ46" s="257">
        <f t="shared" si="41"/>
        <v>0</v>
      </c>
      <c r="AK46" s="257">
        <f t="shared" si="41"/>
        <v>0</v>
      </c>
      <c r="AL46" s="257">
        <f t="shared" si="41"/>
        <v>0</v>
      </c>
      <c r="AM46" s="257">
        <f t="shared" si="41"/>
        <v>0</v>
      </c>
      <c r="AN46" s="257">
        <f t="shared" si="41"/>
        <v>0</v>
      </c>
      <c r="AO46" s="257">
        <f t="shared" si="41"/>
        <v>0</v>
      </c>
      <c r="AP46" s="257">
        <f t="shared" si="41"/>
        <v>0</v>
      </c>
      <c r="AQ46" s="257">
        <f t="shared" si="41"/>
        <v>0</v>
      </c>
      <c r="AR46" s="257">
        <f t="shared" si="41"/>
        <v>0</v>
      </c>
      <c r="AS46" s="257">
        <f t="shared" si="41"/>
        <v>0</v>
      </c>
      <c r="AT46" s="257">
        <f t="shared" si="41"/>
        <v>0</v>
      </c>
      <c r="AU46" s="257">
        <f t="shared" si="41"/>
        <v>0</v>
      </c>
      <c r="AV46" s="257">
        <f t="shared" si="41"/>
        <v>0</v>
      </c>
      <c r="AW46" s="257">
        <f t="shared" si="41"/>
        <v>0</v>
      </c>
      <c r="AX46" s="257">
        <f t="shared" si="41"/>
        <v>0</v>
      </c>
      <c r="AY46" s="257">
        <f t="shared" si="41"/>
        <v>0</v>
      </c>
      <c r="AZ46" s="257">
        <f t="shared" si="41"/>
        <v>0</v>
      </c>
      <c r="BA46" s="257">
        <f t="shared" si="41"/>
        <v>0</v>
      </c>
      <c r="BB46" s="257">
        <f t="shared" si="41"/>
        <v>0</v>
      </c>
      <c r="BC46" s="257">
        <f t="shared" si="41"/>
        <v>0</v>
      </c>
      <c r="BD46" s="257">
        <f t="shared" si="41"/>
        <v>0</v>
      </c>
      <c r="BE46" s="257">
        <f t="shared" si="41"/>
        <v>0</v>
      </c>
      <c r="BF46" s="257">
        <f t="shared" si="41"/>
        <v>0</v>
      </c>
      <c r="BG46" s="257">
        <f t="shared" si="41"/>
        <v>0</v>
      </c>
      <c r="BH46" s="257">
        <f t="shared" si="41"/>
        <v>0</v>
      </c>
      <c r="BI46" s="257">
        <f t="shared" si="41"/>
        <v>0</v>
      </c>
      <c r="BJ46" s="257">
        <f t="shared" si="41"/>
        <v>0</v>
      </c>
      <c r="BK46" s="257">
        <f t="shared" si="41"/>
        <v>0</v>
      </c>
      <c r="BL46" s="257">
        <f t="shared" si="41"/>
        <v>0</v>
      </c>
      <c r="BM46" s="257">
        <f t="shared" si="41"/>
        <v>0</v>
      </c>
      <c r="BN46" s="257">
        <f t="shared" si="41"/>
        <v>0</v>
      </c>
      <c r="BO46" s="257">
        <f t="shared" si="41"/>
        <v>0</v>
      </c>
      <c r="BP46" s="257">
        <f t="shared" si="41"/>
        <v>0</v>
      </c>
      <c r="BQ46" s="257">
        <f t="shared" si="41"/>
        <v>0</v>
      </c>
      <c r="BR46" s="257">
        <f t="shared" si="41"/>
        <v>0</v>
      </c>
      <c r="BS46" s="257">
        <f t="shared" si="41"/>
        <v>0</v>
      </c>
      <c r="BT46" s="257">
        <f t="shared" si="41"/>
        <v>0</v>
      </c>
      <c r="BU46" s="257">
        <f t="shared" ref="BU46:DC46" si="42">BU42*$D$43+BU44*$D$45</f>
        <v>0</v>
      </c>
      <c r="BV46" s="257">
        <f t="shared" si="42"/>
        <v>0</v>
      </c>
      <c r="BW46" s="257">
        <f t="shared" si="42"/>
        <v>0</v>
      </c>
      <c r="BX46" s="257">
        <f t="shared" si="42"/>
        <v>0</v>
      </c>
      <c r="BY46" s="257">
        <f t="shared" si="42"/>
        <v>0</v>
      </c>
      <c r="BZ46" s="257">
        <f t="shared" si="42"/>
        <v>0</v>
      </c>
      <c r="CA46" s="257">
        <f t="shared" si="42"/>
        <v>0</v>
      </c>
      <c r="CB46" s="257">
        <f t="shared" si="42"/>
        <v>0</v>
      </c>
      <c r="CC46" s="257">
        <f t="shared" si="42"/>
        <v>0</v>
      </c>
      <c r="CD46" s="257">
        <f t="shared" si="42"/>
        <v>0</v>
      </c>
      <c r="CE46" s="257">
        <f t="shared" si="42"/>
        <v>0</v>
      </c>
      <c r="CF46" s="257">
        <f t="shared" si="42"/>
        <v>0</v>
      </c>
      <c r="CG46" s="257">
        <f t="shared" si="42"/>
        <v>0</v>
      </c>
      <c r="CH46" s="257">
        <f t="shared" si="42"/>
        <v>0</v>
      </c>
      <c r="CI46" s="257">
        <f t="shared" si="42"/>
        <v>0</v>
      </c>
      <c r="CJ46" s="257">
        <f t="shared" si="42"/>
        <v>0</v>
      </c>
      <c r="CK46" s="257">
        <f t="shared" si="42"/>
        <v>0</v>
      </c>
      <c r="CL46" s="257">
        <f t="shared" si="42"/>
        <v>0</v>
      </c>
      <c r="CM46" s="257">
        <f t="shared" si="42"/>
        <v>0</v>
      </c>
      <c r="CN46" s="257">
        <f t="shared" si="42"/>
        <v>0</v>
      </c>
      <c r="CO46" s="257">
        <f t="shared" si="42"/>
        <v>0</v>
      </c>
      <c r="CP46" s="257">
        <f t="shared" si="42"/>
        <v>0</v>
      </c>
      <c r="CQ46" s="257">
        <f t="shared" si="42"/>
        <v>0</v>
      </c>
      <c r="CR46" s="257">
        <f t="shared" si="42"/>
        <v>0</v>
      </c>
      <c r="CS46" s="257">
        <f t="shared" si="42"/>
        <v>0</v>
      </c>
      <c r="CT46" s="257">
        <f t="shared" si="42"/>
        <v>0</v>
      </c>
      <c r="CU46" s="257">
        <f t="shared" si="42"/>
        <v>0</v>
      </c>
      <c r="CV46" s="257">
        <f t="shared" si="42"/>
        <v>0</v>
      </c>
      <c r="CW46" s="257">
        <f t="shared" si="42"/>
        <v>0</v>
      </c>
      <c r="CX46" s="257">
        <f t="shared" si="42"/>
        <v>0</v>
      </c>
      <c r="CY46" s="257">
        <f t="shared" si="42"/>
        <v>0</v>
      </c>
      <c r="CZ46" s="257">
        <f t="shared" si="42"/>
        <v>0</v>
      </c>
      <c r="DA46" s="257">
        <f t="shared" si="42"/>
        <v>0</v>
      </c>
      <c r="DB46" s="257">
        <f t="shared" si="42"/>
        <v>0</v>
      </c>
      <c r="DC46" s="257">
        <f t="shared" si="42"/>
        <v>0</v>
      </c>
    </row>
    <row r="47" spans="2:107" ht="15" customHeight="1" x14ac:dyDescent="0.25">
      <c r="B47" s="253"/>
      <c r="C47" s="254" t="s">
        <v>4251</v>
      </c>
      <c r="D47" s="254"/>
      <c r="E47" s="542" t="s">
        <v>3911</v>
      </c>
      <c r="F47" s="255" t="s">
        <v>4252</v>
      </c>
      <c r="G47" s="256">
        <f>G44*D45</f>
        <v>0</v>
      </c>
      <c r="H47" s="257">
        <f>H44*$D$45</f>
        <v>0</v>
      </c>
      <c r="I47" s="257">
        <f t="shared" ref="I47:BT47" si="43">I44*$D$45</f>
        <v>0</v>
      </c>
      <c r="J47" s="257">
        <f t="shared" si="43"/>
        <v>0</v>
      </c>
      <c r="K47" s="257">
        <f t="shared" si="43"/>
        <v>0</v>
      </c>
      <c r="L47" s="257">
        <f t="shared" si="43"/>
        <v>0</v>
      </c>
      <c r="M47" s="257">
        <f t="shared" si="43"/>
        <v>0</v>
      </c>
      <c r="N47" s="257">
        <f t="shared" si="43"/>
        <v>0</v>
      </c>
      <c r="O47" s="257">
        <f t="shared" si="43"/>
        <v>0</v>
      </c>
      <c r="P47" s="257">
        <f t="shared" si="43"/>
        <v>0</v>
      </c>
      <c r="Q47" s="257">
        <f t="shared" si="43"/>
        <v>0</v>
      </c>
      <c r="R47" s="257">
        <f t="shared" si="43"/>
        <v>0</v>
      </c>
      <c r="S47" s="257">
        <f t="shared" si="43"/>
        <v>0</v>
      </c>
      <c r="T47" s="257">
        <f t="shared" si="43"/>
        <v>0</v>
      </c>
      <c r="U47" s="257">
        <f t="shared" si="43"/>
        <v>0</v>
      </c>
      <c r="V47" s="257">
        <f t="shared" si="43"/>
        <v>0</v>
      </c>
      <c r="W47" s="257">
        <f t="shared" si="43"/>
        <v>0</v>
      </c>
      <c r="X47" s="257">
        <f t="shared" si="43"/>
        <v>0</v>
      </c>
      <c r="Y47" s="257">
        <f t="shared" si="43"/>
        <v>0</v>
      </c>
      <c r="Z47" s="257">
        <f t="shared" si="43"/>
        <v>0</v>
      </c>
      <c r="AA47" s="257">
        <f t="shared" si="43"/>
        <v>0</v>
      </c>
      <c r="AB47" s="257">
        <f t="shared" si="43"/>
        <v>0</v>
      </c>
      <c r="AC47" s="257">
        <f t="shared" si="43"/>
        <v>0</v>
      </c>
      <c r="AD47" s="257">
        <f t="shared" si="43"/>
        <v>0</v>
      </c>
      <c r="AE47" s="257">
        <f t="shared" si="43"/>
        <v>0</v>
      </c>
      <c r="AF47" s="257">
        <f t="shared" si="43"/>
        <v>0</v>
      </c>
      <c r="AG47" s="257">
        <f t="shared" si="43"/>
        <v>0</v>
      </c>
      <c r="AH47" s="257">
        <f t="shared" si="43"/>
        <v>0</v>
      </c>
      <c r="AI47" s="257">
        <f t="shared" si="43"/>
        <v>0</v>
      </c>
      <c r="AJ47" s="257">
        <f t="shared" si="43"/>
        <v>0</v>
      </c>
      <c r="AK47" s="257">
        <f t="shared" si="43"/>
        <v>0</v>
      </c>
      <c r="AL47" s="257">
        <f t="shared" si="43"/>
        <v>0</v>
      </c>
      <c r="AM47" s="257">
        <f t="shared" si="43"/>
        <v>0</v>
      </c>
      <c r="AN47" s="257">
        <f t="shared" si="43"/>
        <v>0</v>
      </c>
      <c r="AO47" s="257">
        <f t="shared" si="43"/>
        <v>0</v>
      </c>
      <c r="AP47" s="257">
        <f t="shared" si="43"/>
        <v>0</v>
      </c>
      <c r="AQ47" s="257">
        <f t="shared" si="43"/>
        <v>0</v>
      </c>
      <c r="AR47" s="257">
        <f t="shared" si="43"/>
        <v>0</v>
      </c>
      <c r="AS47" s="257">
        <f t="shared" si="43"/>
        <v>0</v>
      </c>
      <c r="AT47" s="257">
        <f t="shared" si="43"/>
        <v>0</v>
      </c>
      <c r="AU47" s="257">
        <f t="shared" si="43"/>
        <v>0</v>
      </c>
      <c r="AV47" s="257">
        <f t="shared" si="43"/>
        <v>0</v>
      </c>
      <c r="AW47" s="257">
        <f t="shared" si="43"/>
        <v>0</v>
      </c>
      <c r="AX47" s="257">
        <f t="shared" si="43"/>
        <v>0</v>
      </c>
      <c r="AY47" s="257">
        <f t="shared" si="43"/>
        <v>0</v>
      </c>
      <c r="AZ47" s="257">
        <f t="shared" si="43"/>
        <v>0</v>
      </c>
      <c r="BA47" s="257">
        <f t="shared" si="43"/>
        <v>0</v>
      </c>
      <c r="BB47" s="257">
        <f t="shared" si="43"/>
        <v>0</v>
      </c>
      <c r="BC47" s="257">
        <f t="shared" si="43"/>
        <v>0</v>
      </c>
      <c r="BD47" s="257">
        <f t="shared" si="43"/>
        <v>0</v>
      </c>
      <c r="BE47" s="257">
        <f t="shared" si="43"/>
        <v>0</v>
      </c>
      <c r="BF47" s="257">
        <f t="shared" si="43"/>
        <v>0</v>
      </c>
      <c r="BG47" s="257">
        <f t="shared" si="43"/>
        <v>0</v>
      </c>
      <c r="BH47" s="257">
        <f t="shared" si="43"/>
        <v>0</v>
      </c>
      <c r="BI47" s="257">
        <f t="shared" si="43"/>
        <v>0</v>
      </c>
      <c r="BJ47" s="257">
        <f t="shared" si="43"/>
        <v>0</v>
      </c>
      <c r="BK47" s="257">
        <f t="shared" si="43"/>
        <v>0</v>
      </c>
      <c r="BL47" s="257">
        <f t="shared" si="43"/>
        <v>0</v>
      </c>
      <c r="BM47" s="257">
        <f t="shared" si="43"/>
        <v>0</v>
      </c>
      <c r="BN47" s="257">
        <f t="shared" si="43"/>
        <v>0</v>
      </c>
      <c r="BO47" s="257">
        <f t="shared" si="43"/>
        <v>0</v>
      </c>
      <c r="BP47" s="257">
        <f t="shared" si="43"/>
        <v>0</v>
      </c>
      <c r="BQ47" s="257">
        <f t="shared" si="43"/>
        <v>0</v>
      </c>
      <c r="BR47" s="257">
        <f t="shared" si="43"/>
        <v>0</v>
      </c>
      <c r="BS47" s="257">
        <f t="shared" si="43"/>
        <v>0</v>
      </c>
      <c r="BT47" s="257">
        <f t="shared" si="43"/>
        <v>0</v>
      </c>
      <c r="BU47" s="257">
        <f t="shared" ref="BU47:DC47" si="44">BU44*$D$45</f>
        <v>0</v>
      </c>
      <c r="BV47" s="257">
        <f t="shared" si="44"/>
        <v>0</v>
      </c>
      <c r="BW47" s="257">
        <f t="shared" si="44"/>
        <v>0</v>
      </c>
      <c r="BX47" s="257">
        <f t="shared" si="44"/>
        <v>0</v>
      </c>
      <c r="BY47" s="257">
        <f t="shared" si="44"/>
        <v>0</v>
      </c>
      <c r="BZ47" s="257">
        <f t="shared" si="44"/>
        <v>0</v>
      </c>
      <c r="CA47" s="257">
        <f t="shared" si="44"/>
        <v>0</v>
      </c>
      <c r="CB47" s="257">
        <f t="shared" si="44"/>
        <v>0</v>
      </c>
      <c r="CC47" s="257">
        <f t="shared" si="44"/>
        <v>0</v>
      </c>
      <c r="CD47" s="257">
        <f t="shared" si="44"/>
        <v>0</v>
      </c>
      <c r="CE47" s="257">
        <f t="shared" si="44"/>
        <v>0</v>
      </c>
      <c r="CF47" s="257">
        <f t="shared" si="44"/>
        <v>0</v>
      </c>
      <c r="CG47" s="257">
        <f t="shared" si="44"/>
        <v>0</v>
      </c>
      <c r="CH47" s="257">
        <f t="shared" si="44"/>
        <v>0</v>
      </c>
      <c r="CI47" s="257">
        <f t="shared" si="44"/>
        <v>0</v>
      </c>
      <c r="CJ47" s="257">
        <f t="shared" si="44"/>
        <v>0</v>
      </c>
      <c r="CK47" s="257">
        <f t="shared" si="44"/>
        <v>0</v>
      </c>
      <c r="CL47" s="257">
        <f t="shared" si="44"/>
        <v>0</v>
      </c>
      <c r="CM47" s="257">
        <f t="shared" si="44"/>
        <v>0</v>
      </c>
      <c r="CN47" s="257">
        <f t="shared" si="44"/>
        <v>0</v>
      </c>
      <c r="CO47" s="257">
        <f t="shared" si="44"/>
        <v>0</v>
      </c>
      <c r="CP47" s="257">
        <f t="shared" si="44"/>
        <v>0</v>
      </c>
      <c r="CQ47" s="257">
        <f t="shared" si="44"/>
        <v>0</v>
      </c>
      <c r="CR47" s="257">
        <f t="shared" si="44"/>
        <v>0</v>
      </c>
      <c r="CS47" s="257">
        <f t="shared" si="44"/>
        <v>0</v>
      </c>
      <c r="CT47" s="257">
        <f t="shared" si="44"/>
        <v>0</v>
      </c>
      <c r="CU47" s="257">
        <f t="shared" si="44"/>
        <v>0</v>
      </c>
      <c r="CV47" s="257">
        <f t="shared" si="44"/>
        <v>0</v>
      </c>
      <c r="CW47" s="257">
        <f t="shared" si="44"/>
        <v>0</v>
      </c>
      <c r="CX47" s="257">
        <f t="shared" si="44"/>
        <v>0</v>
      </c>
      <c r="CY47" s="257">
        <f t="shared" si="44"/>
        <v>0</v>
      </c>
      <c r="CZ47" s="257">
        <f t="shared" si="44"/>
        <v>0</v>
      </c>
      <c r="DA47" s="257">
        <f t="shared" si="44"/>
        <v>0</v>
      </c>
      <c r="DB47" s="257">
        <f t="shared" si="44"/>
        <v>0</v>
      </c>
      <c r="DC47" s="257">
        <f t="shared" si="44"/>
        <v>0</v>
      </c>
    </row>
    <row r="48" spans="2:107" ht="15" customHeight="1" x14ac:dyDescent="0.25">
      <c r="B48" s="253"/>
      <c r="C48" s="254" t="s">
        <v>4253</v>
      </c>
      <c r="D48" s="254"/>
      <c r="E48" s="542" t="s">
        <v>3911</v>
      </c>
      <c r="F48" s="255" t="s">
        <v>4254</v>
      </c>
      <c r="G48" s="256">
        <f>G42*D43</f>
        <v>0</v>
      </c>
      <c r="H48" s="257">
        <f>H42*$D$43</f>
        <v>0</v>
      </c>
      <c r="I48" s="257">
        <f t="shared" ref="I48:BT48" si="45">I42*$D$43</f>
        <v>0</v>
      </c>
      <c r="J48" s="257">
        <f t="shared" si="45"/>
        <v>0</v>
      </c>
      <c r="K48" s="257">
        <f t="shared" si="45"/>
        <v>0</v>
      </c>
      <c r="L48" s="257">
        <f t="shared" si="45"/>
        <v>0</v>
      </c>
      <c r="M48" s="257">
        <f t="shared" si="45"/>
        <v>0</v>
      </c>
      <c r="N48" s="257">
        <f t="shared" si="45"/>
        <v>0</v>
      </c>
      <c r="O48" s="257">
        <f t="shared" si="45"/>
        <v>0</v>
      </c>
      <c r="P48" s="257">
        <f t="shared" si="45"/>
        <v>0</v>
      </c>
      <c r="Q48" s="257">
        <f t="shared" si="45"/>
        <v>0</v>
      </c>
      <c r="R48" s="257">
        <f t="shared" si="45"/>
        <v>0</v>
      </c>
      <c r="S48" s="257">
        <f t="shared" si="45"/>
        <v>0</v>
      </c>
      <c r="T48" s="257">
        <f t="shared" si="45"/>
        <v>0</v>
      </c>
      <c r="U48" s="257">
        <f t="shared" si="45"/>
        <v>0</v>
      </c>
      <c r="V48" s="257">
        <f t="shared" si="45"/>
        <v>0</v>
      </c>
      <c r="W48" s="257">
        <f t="shared" si="45"/>
        <v>0</v>
      </c>
      <c r="X48" s="257">
        <f t="shared" si="45"/>
        <v>0</v>
      </c>
      <c r="Y48" s="257">
        <f t="shared" si="45"/>
        <v>0</v>
      </c>
      <c r="Z48" s="257">
        <f t="shared" si="45"/>
        <v>0</v>
      </c>
      <c r="AA48" s="257">
        <f t="shared" si="45"/>
        <v>0</v>
      </c>
      <c r="AB48" s="257">
        <f t="shared" si="45"/>
        <v>0</v>
      </c>
      <c r="AC48" s="257">
        <f t="shared" si="45"/>
        <v>0</v>
      </c>
      <c r="AD48" s="257">
        <f t="shared" si="45"/>
        <v>0</v>
      </c>
      <c r="AE48" s="257">
        <f t="shared" si="45"/>
        <v>0</v>
      </c>
      <c r="AF48" s="257">
        <f t="shared" si="45"/>
        <v>0</v>
      </c>
      <c r="AG48" s="257">
        <f t="shared" si="45"/>
        <v>0</v>
      </c>
      <c r="AH48" s="257">
        <f t="shared" si="45"/>
        <v>0</v>
      </c>
      <c r="AI48" s="257">
        <f t="shared" si="45"/>
        <v>0</v>
      </c>
      <c r="AJ48" s="257">
        <f t="shared" si="45"/>
        <v>0</v>
      </c>
      <c r="AK48" s="257">
        <f t="shared" si="45"/>
        <v>0</v>
      </c>
      <c r="AL48" s="257">
        <f t="shared" si="45"/>
        <v>0</v>
      </c>
      <c r="AM48" s="257">
        <f t="shared" si="45"/>
        <v>0</v>
      </c>
      <c r="AN48" s="257">
        <f t="shared" si="45"/>
        <v>0</v>
      </c>
      <c r="AO48" s="257">
        <f t="shared" si="45"/>
        <v>0</v>
      </c>
      <c r="AP48" s="257">
        <f t="shared" si="45"/>
        <v>0</v>
      </c>
      <c r="AQ48" s="257">
        <f t="shared" si="45"/>
        <v>0</v>
      </c>
      <c r="AR48" s="257">
        <f t="shared" si="45"/>
        <v>0</v>
      </c>
      <c r="AS48" s="257">
        <f t="shared" si="45"/>
        <v>0</v>
      </c>
      <c r="AT48" s="257">
        <f t="shared" si="45"/>
        <v>0</v>
      </c>
      <c r="AU48" s="257">
        <f t="shared" si="45"/>
        <v>0</v>
      </c>
      <c r="AV48" s="257">
        <f t="shared" si="45"/>
        <v>0</v>
      </c>
      <c r="AW48" s="257">
        <f t="shared" si="45"/>
        <v>0</v>
      </c>
      <c r="AX48" s="257">
        <f t="shared" si="45"/>
        <v>0</v>
      </c>
      <c r="AY48" s="257">
        <f t="shared" si="45"/>
        <v>0</v>
      </c>
      <c r="AZ48" s="257">
        <f t="shared" si="45"/>
        <v>0</v>
      </c>
      <c r="BA48" s="257">
        <f t="shared" si="45"/>
        <v>0</v>
      </c>
      <c r="BB48" s="257">
        <f t="shared" si="45"/>
        <v>0</v>
      </c>
      <c r="BC48" s="257">
        <f t="shared" si="45"/>
        <v>0</v>
      </c>
      <c r="BD48" s="257">
        <f t="shared" si="45"/>
        <v>0</v>
      </c>
      <c r="BE48" s="257">
        <f t="shared" si="45"/>
        <v>0</v>
      </c>
      <c r="BF48" s="257">
        <f t="shared" si="45"/>
        <v>0</v>
      </c>
      <c r="BG48" s="257">
        <f t="shared" si="45"/>
        <v>0</v>
      </c>
      <c r="BH48" s="257">
        <f t="shared" si="45"/>
        <v>0</v>
      </c>
      <c r="BI48" s="257">
        <f t="shared" si="45"/>
        <v>0</v>
      </c>
      <c r="BJ48" s="257">
        <f t="shared" si="45"/>
        <v>0</v>
      </c>
      <c r="BK48" s="257">
        <f t="shared" si="45"/>
        <v>0</v>
      </c>
      <c r="BL48" s="257">
        <f t="shared" si="45"/>
        <v>0</v>
      </c>
      <c r="BM48" s="257">
        <f t="shared" si="45"/>
        <v>0</v>
      </c>
      <c r="BN48" s="257">
        <f t="shared" si="45"/>
        <v>0</v>
      </c>
      <c r="BO48" s="257">
        <f t="shared" si="45"/>
        <v>0</v>
      </c>
      <c r="BP48" s="257">
        <f t="shared" si="45"/>
        <v>0</v>
      </c>
      <c r="BQ48" s="257">
        <f t="shared" si="45"/>
        <v>0</v>
      </c>
      <c r="BR48" s="257">
        <f t="shared" si="45"/>
        <v>0</v>
      </c>
      <c r="BS48" s="257">
        <f t="shared" si="45"/>
        <v>0</v>
      </c>
      <c r="BT48" s="257">
        <f t="shared" si="45"/>
        <v>0</v>
      </c>
      <c r="BU48" s="257">
        <f t="shared" ref="BU48:DC48" si="46">BU42*$D$43</f>
        <v>0</v>
      </c>
      <c r="BV48" s="257">
        <f t="shared" si="46"/>
        <v>0</v>
      </c>
      <c r="BW48" s="257">
        <f t="shared" si="46"/>
        <v>0</v>
      </c>
      <c r="BX48" s="257">
        <f t="shared" si="46"/>
        <v>0</v>
      </c>
      <c r="BY48" s="257">
        <f t="shared" si="46"/>
        <v>0</v>
      </c>
      <c r="BZ48" s="257">
        <f t="shared" si="46"/>
        <v>0</v>
      </c>
      <c r="CA48" s="257">
        <f t="shared" si="46"/>
        <v>0</v>
      </c>
      <c r="CB48" s="257">
        <f t="shared" si="46"/>
        <v>0</v>
      </c>
      <c r="CC48" s="257">
        <f t="shared" si="46"/>
        <v>0</v>
      </c>
      <c r="CD48" s="257">
        <f t="shared" si="46"/>
        <v>0</v>
      </c>
      <c r="CE48" s="257">
        <f t="shared" si="46"/>
        <v>0</v>
      </c>
      <c r="CF48" s="257">
        <f t="shared" si="46"/>
        <v>0</v>
      </c>
      <c r="CG48" s="257">
        <f t="shared" si="46"/>
        <v>0</v>
      </c>
      <c r="CH48" s="257">
        <f t="shared" si="46"/>
        <v>0</v>
      </c>
      <c r="CI48" s="257">
        <f t="shared" si="46"/>
        <v>0</v>
      </c>
      <c r="CJ48" s="257">
        <f t="shared" si="46"/>
        <v>0</v>
      </c>
      <c r="CK48" s="257">
        <f t="shared" si="46"/>
        <v>0</v>
      </c>
      <c r="CL48" s="257">
        <f t="shared" si="46"/>
        <v>0</v>
      </c>
      <c r="CM48" s="257">
        <f t="shared" si="46"/>
        <v>0</v>
      </c>
      <c r="CN48" s="257">
        <f t="shared" si="46"/>
        <v>0</v>
      </c>
      <c r="CO48" s="257">
        <f t="shared" si="46"/>
        <v>0</v>
      </c>
      <c r="CP48" s="257">
        <f t="shared" si="46"/>
        <v>0</v>
      </c>
      <c r="CQ48" s="257">
        <f t="shared" si="46"/>
        <v>0</v>
      </c>
      <c r="CR48" s="257">
        <f t="shared" si="46"/>
        <v>0</v>
      </c>
      <c r="CS48" s="257">
        <f t="shared" si="46"/>
        <v>0</v>
      </c>
      <c r="CT48" s="257">
        <f t="shared" si="46"/>
        <v>0</v>
      </c>
      <c r="CU48" s="257">
        <f t="shared" si="46"/>
        <v>0</v>
      </c>
      <c r="CV48" s="257">
        <f t="shared" si="46"/>
        <v>0</v>
      </c>
      <c r="CW48" s="257">
        <f t="shared" si="46"/>
        <v>0</v>
      </c>
      <c r="CX48" s="257">
        <f t="shared" si="46"/>
        <v>0</v>
      </c>
      <c r="CY48" s="257">
        <f t="shared" si="46"/>
        <v>0</v>
      </c>
      <c r="CZ48" s="257">
        <f t="shared" si="46"/>
        <v>0</v>
      </c>
      <c r="DA48" s="257">
        <f t="shared" si="46"/>
        <v>0</v>
      </c>
      <c r="DB48" s="257">
        <f t="shared" si="46"/>
        <v>0</v>
      </c>
      <c r="DC48" s="257">
        <f t="shared" si="46"/>
        <v>0</v>
      </c>
    </row>
    <row r="50" spans="2:107" ht="15" customHeight="1" x14ac:dyDescent="0.35">
      <c r="E50" s="189" t="s">
        <v>4071</v>
      </c>
      <c r="F50" s="190"/>
      <c r="G50" s="191">
        <f>RCB!$G$7</f>
        <v>0</v>
      </c>
      <c r="I50" s="189" t="s">
        <v>4072</v>
      </c>
      <c r="J50" s="190"/>
      <c r="K50" s="191">
        <f>RCB!$J$7</f>
        <v>0</v>
      </c>
    </row>
    <row r="53" spans="2:107" ht="15" hidden="1" customHeight="1" x14ac:dyDescent="0.25">
      <c r="B53" s="858" t="s">
        <v>4255</v>
      </c>
      <c r="C53" s="859"/>
      <c r="D53" s="859"/>
      <c r="E53" s="859"/>
      <c r="F53" s="859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</row>
    <row r="55" spans="2:107" ht="15" hidden="1" customHeight="1" x14ac:dyDescent="0.25">
      <c r="B55" s="259">
        <v>31</v>
      </c>
      <c r="C55" s="264" t="s">
        <v>4196</v>
      </c>
      <c r="D55" s="264"/>
      <c r="E55" s="265"/>
      <c r="F55" s="266"/>
      <c r="G55" s="267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29"/>
      <c r="CV55" s="229"/>
      <c r="CW55" s="229"/>
      <c r="CX55" s="229"/>
      <c r="CY55" s="229"/>
      <c r="CZ55" s="229"/>
      <c r="DA55" s="229"/>
      <c r="DB55" s="229"/>
      <c r="DC55" s="229"/>
    </row>
    <row r="56" spans="2:107" ht="15" hidden="1" customHeight="1" x14ac:dyDescent="0.25">
      <c r="B56" s="259">
        <v>32</v>
      </c>
      <c r="C56" s="264" t="s">
        <v>4256</v>
      </c>
      <c r="D56" s="264"/>
      <c r="E56" s="265"/>
      <c r="F56" s="268" t="s">
        <v>4257</v>
      </c>
      <c r="G56" s="269">
        <f>SUM(H56:DC56)</f>
        <v>0</v>
      </c>
      <c r="H56" s="270"/>
      <c r="I56" s="270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</row>
    <row r="57" spans="2:107" ht="15" hidden="1" customHeight="1" x14ac:dyDescent="0.25">
      <c r="B57" s="902">
        <v>33</v>
      </c>
      <c r="C57" s="264" t="s">
        <v>4258</v>
      </c>
      <c r="D57" s="264"/>
      <c r="E57" s="265" t="s">
        <v>4199</v>
      </c>
      <c r="F57" s="268" t="s">
        <v>4259</v>
      </c>
      <c r="G57" s="271">
        <f>SUM(H57:DC57)</f>
        <v>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</row>
    <row r="58" spans="2:107" ht="15" hidden="1" customHeight="1" x14ac:dyDescent="0.25">
      <c r="B58" s="760"/>
      <c r="C58" s="264" t="s">
        <v>4205</v>
      </c>
      <c r="D58" s="264"/>
      <c r="E58" s="265" t="s">
        <v>3857</v>
      </c>
      <c r="F58" s="268" t="s">
        <v>4206</v>
      </c>
      <c r="G58" s="271">
        <f>SUM(H58:DC58)</f>
        <v>0</v>
      </c>
      <c r="H58" s="272">
        <f>(H56*H57)/1000</f>
        <v>0</v>
      </c>
      <c r="I58" s="272">
        <f t="shared" ref="I58:DC58" si="47">(I56*I57)/1000</f>
        <v>0</v>
      </c>
      <c r="J58" s="272">
        <f t="shared" si="47"/>
        <v>0</v>
      </c>
      <c r="K58" s="272">
        <f t="shared" si="47"/>
        <v>0</v>
      </c>
      <c r="L58" s="272">
        <f t="shared" si="47"/>
        <v>0</v>
      </c>
      <c r="M58" s="272">
        <f t="shared" si="47"/>
        <v>0</v>
      </c>
      <c r="N58" s="272">
        <f t="shared" si="47"/>
        <v>0</v>
      </c>
      <c r="O58" s="272">
        <f t="shared" si="47"/>
        <v>0</v>
      </c>
      <c r="P58" s="272">
        <f t="shared" si="47"/>
        <v>0</v>
      </c>
      <c r="Q58" s="272">
        <f t="shared" si="47"/>
        <v>0</v>
      </c>
      <c r="R58" s="272">
        <f t="shared" si="47"/>
        <v>0</v>
      </c>
      <c r="S58" s="272">
        <f t="shared" si="47"/>
        <v>0</v>
      </c>
      <c r="T58" s="272">
        <f t="shared" si="47"/>
        <v>0</v>
      </c>
      <c r="U58" s="272">
        <f t="shared" si="47"/>
        <v>0</v>
      </c>
      <c r="V58" s="272">
        <f t="shared" si="47"/>
        <v>0</v>
      </c>
      <c r="W58" s="272">
        <f t="shared" si="47"/>
        <v>0</v>
      </c>
      <c r="X58" s="272">
        <f t="shared" si="47"/>
        <v>0</v>
      </c>
      <c r="Y58" s="272">
        <f t="shared" si="47"/>
        <v>0</v>
      </c>
      <c r="Z58" s="272">
        <f t="shared" si="47"/>
        <v>0</v>
      </c>
      <c r="AA58" s="272">
        <f t="shared" si="47"/>
        <v>0</v>
      </c>
      <c r="AB58" s="272">
        <f t="shared" si="47"/>
        <v>0</v>
      </c>
      <c r="AC58" s="272">
        <f t="shared" si="47"/>
        <v>0</v>
      </c>
      <c r="AD58" s="272">
        <f t="shared" si="47"/>
        <v>0</v>
      </c>
      <c r="AE58" s="272">
        <f t="shared" si="47"/>
        <v>0</v>
      </c>
      <c r="AF58" s="272">
        <f t="shared" si="47"/>
        <v>0</v>
      </c>
      <c r="AG58" s="272">
        <f t="shared" si="47"/>
        <v>0</v>
      </c>
      <c r="AH58" s="272">
        <f t="shared" si="47"/>
        <v>0</v>
      </c>
      <c r="AI58" s="272">
        <f t="shared" si="47"/>
        <v>0</v>
      </c>
      <c r="AJ58" s="272">
        <f t="shared" si="47"/>
        <v>0</v>
      </c>
      <c r="AK58" s="272">
        <f t="shared" si="47"/>
        <v>0</v>
      </c>
      <c r="AL58" s="272">
        <f t="shared" si="47"/>
        <v>0</v>
      </c>
      <c r="AM58" s="272">
        <f t="shared" si="47"/>
        <v>0</v>
      </c>
      <c r="AN58" s="272">
        <f t="shared" si="47"/>
        <v>0</v>
      </c>
      <c r="AO58" s="272">
        <f t="shared" si="47"/>
        <v>0</v>
      </c>
      <c r="AP58" s="272">
        <f t="shared" si="47"/>
        <v>0</v>
      </c>
      <c r="AQ58" s="272">
        <f t="shared" si="47"/>
        <v>0</v>
      </c>
      <c r="AR58" s="272">
        <f t="shared" si="47"/>
        <v>0</v>
      </c>
      <c r="AS58" s="272">
        <f t="shared" si="47"/>
        <v>0</v>
      </c>
      <c r="AT58" s="272">
        <f t="shared" si="47"/>
        <v>0</v>
      </c>
      <c r="AU58" s="272">
        <f t="shared" si="47"/>
        <v>0</v>
      </c>
      <c r="AV58" s="272">
        <f t="shared" si="47"/>
        <v>0</v>
      </c>
      <c r="AW58" s="272">
        <f t="shared" si="47"/>
        <v>0</v>
      </c>
      <c r="AX58" s="272">
        <f t="shared" si="47"/>
        <v>0</v>
      </c>
      <c r="AY58" s="272">
        <f t="shared" si="47"/>
        <v>0</v>
      </c>
      <c r="AZ58" s="272">
        <f t="shared" si="47"/>
        <v>0</v>
      </c>
      <c r="BA58" s="272">
        <f t="shared" si="47"/>
        <v>0</v>
      </c>
      <c r="BB58" s="272">
        <f t="shared" si="47"/>
        <v>0</v>
      </c>
      <c r="BC58" s="272">
        <f t="shared" si="47"/>
        <v>0</v>
      </c>
      <c r="BD58" s="272">
        <f t="shared" si="47"/>
        <v>0</v>
      </c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>
        <f t="shared" si="47"/>
        <v>0</v>
      </c>
    </row>
    <row r="59" spans="2:107" ht="15" hidden="1" customHeight="1" x14ac:dyDescent="0.25">
      <c r="B59" s="902">
        <v>34</v>
      </c>
      <c r="C59" s="264" t="s">
        <v>4207</v>
      </c>
      <c r="D59" s="264"/>
      <c r="E59" s="273" t="s">
        <v>4208</v>
      </c>
      <c r="F59" s="268"/>
      <c r="G59" s="274" t="str">
        <f>IF(COUNTA(H59:DC59)=0,"",IF(OR(LARGE(H59:DC59,1)&gt;24,SMALL(H59:DC59,1)&lt;0),"ERRO",""))</f>
        <v/>
      </c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</row>
    <row r="60" spans="2:107" ht="15" hidden="1" customHeight="1" x14ac:dyDescent="0.25">
      <c r="B60" s="758"/>
      <c r="C60" s="275" t="s">
        <v>4209</v>
      </c>
      <c r="D60" s="275"/>
      <c r="E60" s="552" t="s">
        <v>4210</v>
      </c>
      <c r="F60" s="268"/>
      <c r="G60" s="274" t="str">
        <f>IF(COUNTA(H60:DC60)=0,"",IF(OR(LARGE(H60:DC60,1)&gt;365,SMALL(H60:DC60,1)&lt;0),"ERRO",""))</f>
        <v/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</row>
    <row r="61" spans="2:107" ht="15" hidden="1" customHeight="1" x14ac:dyDescent="0.25">
      <c r="B61" s="760"/>
      <c r="C61" s="264" t="s">
        <v>4211</v>
      </c>
      <c r="D61" s="264"/>
      <c r="E61" s="265" t="s">
        <v>4212</v>
      </c>
      <c r="F61" s="276" t="s">
        <v>4213</v>
      </c>
      <c r="G61" s="274" t="str">
        <f>IF(COUNTA(H61:DC61)=0,"",IF(OR(LARGE(H61:DC61,1)&gt;8760,SMALL(H61:DC61,1)&lt;0),"ERRO",""))</f>
        <v/>
      </c>
      <c r="H61" s="272">
        <f>H59*H60</f>
        <v>0</v>
      </c>
      <c r="I61" s="272">
        <f t="shared" ref="I61:DC61" si="48">I59*I60</f>
        <v>0</v>
      </c>
      <c r="J61" s="272">
        <f t="shared" si="48"/>
        <v>0</v>
      </c>
      <c r="K61" s="272">
        <f t="shared" si="48"/>
        <v>0</v>
      </c>
      <c r="L61" s="272">
        <f t="shared" si="48"/>
        <v>0</v>
      </c>
      <c r="M61" s="272">
        <f t="shared" si="48"/>
        <v>0</v>
      </c>
      <c r="N61" s="272">
        <f t="shared" si="48"/>
        <v>0</v>
      </c>
      <c r="O61" s="272">
        <f t="shared" si="48"/>
        <v>0</v>
      </c>
      <c r="P61" s="272">
        <f t="shared" si="48"/>
        <v>0</v>
      </c>
      <c r="Q61" s="272">
        <f t="shared" si="48"/>
        <v>0</v>
      </c>
      <c r="R61" s="272">
        <f t="shared" si="48"/>
        <v>0</v>
      </c>
      <c r="S61" s="272">
        <f t="shared" si="48"/>
        <v>0</v>
      </c>
      <c r="T61" s="272">
        <f t="shared" si="48"/>
        <v>0</v>
      </c>
      <c r="U61" s="272">
        <f t="shared" si="48"/>
        <v>0</v>
      </c>
      <c r="V61" s="272">
        <f t="shared" si="48"/>
        <v>0</v>
      </c>
      <c r="W61" s="272">
        <f t="shared" si="48"/>
        <v>0</v>
      </c>
      <c r="X61" s="272">
        <f t="shared" si="48"/>
        <v>0</v>
      </c>
      <c r="Y61" s="272">
        <f t="shared" si="48"/>
        <v>0</v>
      </c>
      <c r="Z61" s="272">
        <f t="shared" si="48"/>
        <v>0</v>
      </c>
      <c r="AA61" s="272">
        <f t="shared" si="48"/>
        <v>0</v>
      </c>
      <c r="AB61" s="272">
        <f t="shared" si="48"/>
        <v>0</v>
      </c>
      <c r="AC61" s="272">
        <f t="shared" si="48"/>
        <v>0</v>
      </c>
      <c r="AD61" s="272">
        <f t="shared" si="48"/>
        <v>0</v>
      </c>
      <c r="AE61" s="272">
        <f t="shared" si="48"/>
        <v>0</v>
      </c>
      <c r="AF61" s="272">
        <f t="shared" si="48"/>
        <v>0</v>
      </c>
      <c r="AG61" s="272">
        <f t="shared" si="48"/>
        <v>0</v>
      </c>
      <c r="AH61" s="272">
        <f t="shared" si="48"/>
        <v>0</v>
      </c>
      <c r="AI61" s="272">
        <f t="shared" si="48"/>
        <v>0</v>
      </c>
      <c r="AJ61" s="272">
        <f t="shared" si="48"/>
        <v>0</v>
      </c>
      <c r="AK61" s="272">
        <f t="shared" si="48"/>
        <v>0</v>
      </c>
      <c r="AL61" s="272">
        <f t="shared" si="48"/>
        <v>0</v>
      </c>
      <c r="AM61" s="272">
        <f t="shared" si="48"/>
        <v>0</v>
      </c>
      <c r="AN61" s="272">
        <f t="shared" si="48"/>
        <v>0</v>
      </c>
      <c r="AO61" s="272">
        <f t="shared" si="48"/>
        <v>0</v>
      </c>
      <c r="AP61" s="272">
        <f t="shared" si="48"/>
        <v>0</v>
      </c>
      <c r="AQ61" s="272">
        <f t="shared" si="48"/>
        <v>0</v>
      </c>
      <c r="AR61" s="272">
        <f t="shared" si="48"/>
        <v>0</v>
      </c>
      <c r="AS61" s="272">
        <f t="shared" si="48"/>
        <v>0</v>
      </c>
      <c r="AT61" s="272">
        <f t="shared" si="48"/>
        <v>0</v>
      </c>
      <c r="AU61" s="272">
        <f t="shared" si="48"/>
        <v>0</v>
      </c>
      <c r="AV61" s="272">
        <f t="shared" si="48"/>
        <v>0</v>
      </c>
      <c r="AW61" s="272">
        <f t="shared" si="48"/>
        <v>0</v>
      </c>
      <c r="AX61" s="272">
        <f t="shared" si="48"/>
        <v>0</v>
      </c>
      <c r="AY61" s="272">
        <f t="shared" si="48"/>
        <v>0</v>
      </c>
      <c r="AZ61" s="272">
        <f t="shared" si="48"/>
        <v>0</v>
      </c>
      <c r="BA61" s="272">
        <f t="shared" si="48"/>
        <v>0</v>
      </c>
      <c r="BB61" s="272">
        <f t="shared" si="48"/>
        <v>0</v>
      </c>
      <c r="BC61" s="272">
        <f t="shared" si="48"/>
        <v>0</v>
      </c>
      <c r="BD61" s="272">
        <f t="shared" si="48"/>
        <v>0</v>
      </c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>
        <f t="shared" si="48"/>
        <v>0</v>
      </c>
    </row>
    <row r="62" spans="2:107" ht="15" hidden="1" customHeight="1" x14ac:dyDescent="0.25">
      <c r="B62" s="902">
        <v>35</v>
      </c>
      <c r="C62" s="264" t="s">
        <v>4222</v>
      </c>
      <c r="D62" s="264"/>
      <c r="E62" s="265" t="s">
        <v>3857</v>
      </c>
      <c r="F62" s="268" t="s">
        <v>4223</v>
      </c>
      <c r="G62" s="271">
        <f>SUM(H62:DC62)</f>
        <v>0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</row>
    <row r="63" spans="2:107" ht="15" hidden="1" customHeight="1" x14ac:dyDescent="0.25">
      <c r="B63" s="760"/>
      <c r="C63" s="264" t="s">
        <v>4224</v>
      </c>
      <c r="D63" s="264"/>
      <c r="E63" s="265"/>
      <c r="F63" s="276" t="s">
        <v>4225</v>
      </c>
      <c r="G63" s="274" t="str">
        <f>IF(COUNTA(H63:DC63)=0,"",IF(OR(LARGE(H63:DC63,1)&gt;1,SMALL(H63:DC63,1)&lt;0),"ERRO",""))</f>
        <v/>
      </c>
      <c r="H63" s="272">
        <f>IF(H58=0,0,H62/H58)</f>
        <v>0</v>
      </c>
      <c r="I63" s="272">
        <f t="shared" ref="I63:DC63" si="49">IF(I58=0,0,I62/I58)</f>
        <v>0</v>
      </c>
      <c r="J63" s="272">
        <f t="shared" si="49"/>
        <v>0</v>
      </c>
      <c r="K63" s="272">
        <f t="shared" si="49"/>
        <v>0</v>
      </c>
      <c r="L63" s="272">
        <f t="shared" si="49"/>
        <v>0</v>
      </c>
      <c r="M63" s="272">
        <f t="shared" si="49"/>
        <v>0</v>
      </c>
      <c r="N63" s="272">
        <f t="shared" si="49"/>
        <v>0</v>
      </c>
      <c r="O63" s="272">
        <f t="shared" si="49"/>
        <v>0</v>
      </c>
      <c r="P63" s="272">
        <f t="shared" si="49"/>
        <v>0</v>
      </c>
      <c r="Q63" s="272">
        <f t="shared" si="49"/>
        <v>0</v>
      </c>
      <c r="R63" s="272">
        <f t="shared" si="49"/>
        <v>0</v>
      </c>
      <c r="S63" s="272">
        <f t="shared" si="49"/>
        <v>0</v>
      </c>
      <c r="T63" s="272">
        <f t="shared" si="49"/>
        <v>0</v>
      </c>
      <c r="U63" s="272">
        <f t="shared" si="49"/>
        <v>0</v>
      </c>
      <c r="V63" s="272">
        <f t="shared" si="49"/>
        <v>0</v>
      </c>
      <c r="W63" s="272">
        <f t="shared" si="49"/>
        <v>0</v>
      </c>
      <c r="X63" s="272">
        <f t="shared" si="49"/>
        <v>0</v>
      </c>
      <c r="Y63" s="272">
        <f t="shared" si="49"/>
        <v>0</v>
      </c>
      <c r="Z63" s="272">
        <f t="shared" si="49"/>
        <v>0</v>
      </c>
      <c r="AA63" s="272">
        <f t="shared" si="49"/>
        <v>0</v>
      </c>
      <c r="AB63" s="272">
        <f t="shared" si="49"/>
        <v>0</v>
      </c>
      <c r="AC63" s="272">
        <f t="shared" si="49"/>
        <v>0</v>
      </c>
      <c r="AD63" s="272">
        <f t="shared" si="49"/>
        <v>0</v>
      </c>
      <c r="AE63" s="272">
        <f t="shared" si="49"/>
        <v>0</v>
      </c>
      <c r="AF63" s="272">
        <f t="shared" si="49"/>
        <v>0</v>
      </c>
      <c r="AG63" s="272">
        <f t="shared" si="49"/>
        <v>0</v>
      </c>
      <c r="AH63" s="272">
        <f t="shared" si="49"/>
        <v>0</v>
      </c>
      <c r="AI63" s="272">
        <f t="shared" si="49"/>
        <v>0</v>
      </c>
      <c r="AJ63" s="272">
        <f t="shared" si="49"/>
        <v>0</v>
      </c>
      <c r="AK63" s="272">
        <f t="shared" si="49"/>
        <v>0</v>
      </c>
      <c r="AL63" s="272">
        <f t="shared" si="49"/>
        <v>0</v>
      </c>
      <c r="AM63" s="272">
        <f t="shared" si="49"/>
        <v>0</v>
      </c>
      <c r="AN63" s="272">
        <f t="shared" si="49"/>
        <v>0</v>
      </c>
      <c r="AO63" s="272">
        <f t="shared" si="49"/>
        <v>0</v>
      </c>
      <c r="AP63" s="272">
        <f t="shared" si="49"/>
        <v>0</v>
      </c>
      <c r="AQ63" s="272">
        <f t="shared" si="49"/>
        <v>0</v>
      </c>
      <c r="AR63" s="272">
        <f t="shared" si="49"/>
        <v>0</v>
      </c>
      <c r="AS63" s="272">
        <f t="shared" si="49"/>
        <v>0</v>
      </c>
      <c r="AT63" s="272">
        <f t="shared" si="49"/>
        <v>0</v>
      </c>
      <c r="AU63" s="272">
        <f t="shared" si="49"/>
        <v>0</v>
      </c>
      <c r="AV63" s="272">
        <f t="shared" si="49"/>
        <v>0</v>
      </c>
      <c r="AW63" s="272">
        <f t="shared" si="49"/>
        <v>0</v>
      </c>
      <c r="AX63" s="272">
        <f t="shared" si="49"/>
        <v>0</v>
      </c>
      <c r="AY63" s="272">
        <f t="shared" si="49"/>
        <v>0</v>
      </c>
      <c r="AZ63" s="272">
        <f t="shared" si="49"/>
        <v>0</v>
      </c>
      <c r="BA63" s="272">
        <f t="shared" si="49"/>
        <v>0</v>
      </c>
      <c r="BB63" s="272">
        <f t="shared" si="49"/>
        <v>0</v>
      </c>
      <c r="BC63" s="272">
        <f t="shared" si="49"/>
        <v>0</v>
      </c>
      <c r="BD63" s="272">
        <f t="shared" si="49"/>
        <v>0</v>
      </c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>
        <f t="shared" si="49"/>
        <v>0</v>
      </c>
    </row>
    <row r="64" spans="2:107" ht="15" hidden="1" customHeight="1" x14ac:dyDescent="0.25">
      <c r="B64" s="259">
        <v>36</v>
      </c>
      <c r="C64" s="264" t="s">
        <v>4226</v>
      </c>
      <c r="D64" s="264"/>
      <c r="E64" s="265" t="s">
        <v>3854</v>
      </c>
      <c r="F64" s="276" t="s">
        <v>4227</v>
      </c>
      <c r="G64" s="271">
        <f>SUM(H64:DC64)</f>
        <v>0</v>
      </c>
      <c r="H64" s="277">
        <f>(H58*H61)/1000</f>
        <v>0</v>
      </c>
      <c r="I64" s="277">
        <f t="shared" ref="I64:DC64" si="50">(I58*I61)/1000</f>
        <v>0</v>
      </c>
      <c r="J64" s="277">
        <f t="shared" si="50"/>
        <v>0</v>
      </c>
      <c r="K64" s="277">
        <f t="shared" si="50"/>
        <v>0</v>
      </c>
      <c r="L64" s="277">
        <f t="shared" si="50"/>
        <v>0</v>
      </c>
      <c r="M64" s="277">
        <f t="shared" si="50"/>
        <v>0</v>
      </c>
      <c r="N64" s="277">
        <f t="shared" si="50"/>
        <v>0</v>
      </c>
      <c r="O64" s="277">
        <f t="shared" si="50"/>
        <v>0</v>
      </c>
      <c r="P64" s="277">
        <f t="shared" si="50"/>
        <v>0</v>
      </c>
      <c r="Q64" s="277">
        <f t="shared" si="50"/>
        <v>0</v>
      </c>
      <c r="R64" s="277">
        <f t="shared" si="50"/>
        <v>0</v>
      </c>
      <c r="S64" s="277">
        <f t="shared" si="50"/>
        <v>0</v>
      </c>
      <c r="T64" s="277">
        <f t="shared" si="50"/>
        <v>0</v>
      </c>
      <c r="U64" s="277">
        <f t="shared" si="50"/>
        <v>0</v>
      </c>
      <c r="V64" s="277">
        <f t="shared" si="50"/>
        <v>0</v>
      </c>
      <c r="W64" s="277">
        <f t="shared" si="50"/>
        <v>0</v>
      </c>
      <c r="X64" s="277">
        <f t="shared" si="50"/>
        <v>0</v>
      </c>
      <c r="Y64" s="277">
        <f t="shared" si="50"/>
        <v>0</v>
      </c>
      <c r="Z64" s="277">
        <f t="shared" si="50"/>
        <v>0</v>
      </c>
      <c r="AA64" s="277">
        <f t="shared" si="50"/>
        <v>0</v>
      </c>
      <c r="AB64" s="277">
        <f t="shared" si="50"/>
        <v>0</v>
      </c>
      <c r="AC64" s="277">
        <f t="shared" si="50"/>
        <v>0</v>
      </c>
      <c r="AD64" s="277">
        <f t="shared" si="50"/>
        <v>0</v>
      </c>
      <c r="AE64" s="277">
        <f t="shared" si="50"/>
        <v>0</v>
      </c>
      <c r="AF64" s="277">
        <f t="shared" si="50"/>
        <v>0</v>
      </c>
      <c r="AG64" s="277">
        <f t="shared" si="50"/>
        <v>0</v>
      </c>
      <c r="AH64" s="277">
        <f t="shared" si="50"/>
        <v>0</v>
      </c>
      <c r="AI64" s="277">
        <f t="shared" si="50"/>
        <v>0</v>
      </c>
      <c r="AJ64" s="277">
        <f t="shared" si="50"/>
        <v>0</v>
      </c>
      <c r="AK64" s="277">
        <f t="shared" si="50"/>
        <v>0</v>
      </c>
      <c r="AL64" s="277">
        <f t="shared" si="50"/>
        <v>0</v>
      </c>
      <c r="AM64" s="277">
        <f t="shared" si="50"/>
        <v>0</v>
      </c>
      <c r="AN64" s="277">
        <f t="shared" si="50"/>
        <v>0</v>
      </c>
      <c r="AO64" s="277">
        <f t="shared" si="50"/>
        <v>0</v>
      </c>
      <c r="AP64" s="277">
        <f t="shared" si="50"/>
        <v>0</v>
      </c>
      <c r="AQ64" s="277">
        <f t="shared" si="50"/>
        <v>0</v>
      </c>
      <c r="AR64" s="277">
        <f t="shared" si="50"/>
        <v>0</v>
      </c>
      <c r="AS64" s="277">
        <f t="shared" si="50"/>
        <v>0</v>
      </c>
      <c r="AT64" s="277">
        <f t="shared" si="50"/>
        <v>0</v>
      </c>
      <c r="AU64" s="277">
        <f t="shared" si="50"/>
        <v>0</v>
      </c>
      <c r="AV64" s="277">
        <f t="shared" si="50"/>
        <v>0</v>
      </c>
      <c r="AW64" s="277">
        <f t="shared" si="50"/>
        <v>0</v>
      </c>
      <c r="AX64" s="277">
        <f t="shared" si="50"/>
        <v>0</v>
      </c>
      <c r="AY64" s="277">
        <f t="shared" si="50"/>
        <v>0</v>
      </c>
      <c r="AZ64" s="277">
        <f t="shared" si="50"/>
        <v>0</v>
      </c>
      <c r="BA64" s="277">
        <f t="shared" si="50"/>
        <v>0</v>
      </c>
      <c r="BB64" s="277">
        <f t="shared" si="50"/>
        <v>0</v>
      </c>
      <c r="BC64" s="277">
        <f t="shared" si="50"/>
        <v>0</v>
      </c>
      <c r="BD64" s="277">
        <f t="shared" si="50"/>
        <v>0</v>
      </c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7"/>
      <c r="DC64" s="277">
        <f t="shared" si="50"/>
        <v>0</v>
      </c>
    </row>
    <row r="65" spans="2:107" ht="15" hidden="1" customHeight="1" x14ac:dyDescent="0.25">
      <c r="B65" s="259">
        <v>37</v>
      </c>
      <c r="C65" s="264" t="s">
        <v>4260</v>
      </c>
      <c r="D65" s="264"/>
      <c r="E65" s="265" t="s">
        <v>3912</v>
      </c>
      <c r="F65" s="276" t="s">
        <v>4261</v>
      </c>
      <c r="G65" s="278">
        <f t="shared" ref="G65:AL65" si="51">IF(OR(G19=0,G64=0),0,(G64-G19)/G19)</f>
        <v>0</v>
      </c>
      <c r="H65" s="279">
        <f t="shared" si="51"/>
        <v>0</v>
      </c>
      <c r="I65" s="279">
        <f t="shared" si="51"/>
        <v>0</v>
      </c>
      <c r="J65" s="279">
        <f t="shared" si="51"/>
        <v>0</v>
      </c>
      <c r="K65" s="279">
        <f t="shared" si="51"/>
        <v>0</v>
      </c>
      <c r="L65" s="279">
        <f t="shared" si="51"/>
        <v>0</v>
      </c>
      <c r="M65" s="279">
        <f t="shared" si="51"/>
        <v>0</v>
      </c>
      <c r="N65" s="279">
        <f t="shared" si="51"/>
        <v>0</v>
      </c>
      <c r="O65" s="279">
        <f t="shared" si="51"/>
        <v>0</v>
      </c>
      <c r="P65" s="279">
        <f t="shared" si="51"/>
        <v>0</v>
      </c>
      <c r="Q65" s="279">
        <f t="shared" si="51"/>
        <v>0</v>
      </c>
      <c r="R65" s="279">
        <f t="shared" si="51"/>
        <v>0</v>
      </c>
      <c r="S65" s="279">
        <f t="shared" si="51"/>
        <v>0</v>
      </c>
      <c r="T65" s="279">
        <f t="shared" si="51"/>
        <v>0</v>
      </c>
      <c r="U65" s="279">
        <f t="shared" si="51"/>
        <v>0</v>
      </c>
      <c r="V65" s="279">
        <f t="shared" si="51"/>
        <v>0</v>
      </c>
      <c r="W65" s="279">
        <f t="shared" si="51"/>
        <v>0</v>
      </c>
      <c r="X65" s="279">
        <f t="shared" si="51"/>
        <v>0</v>
      </c>
      <c r="Y65" s="279">
        <f t="shared" si="51"/>
        <v>0</v>
      </c>
      <c r="Z65" s="279">
        <f t="shared" si="51"/>
        <v>0</v>
      </c>
      <c r="AA65" s="279">
        <f t="shared" si="51"/>
        <v>0</v>
      </c>
      <c r="AB65" s="279">
        <f t="shared" si="51"/>
        <v>0</v>
      </c>
      <c r="AC65" s="279">
        <f t="shared" si="51"/>
        <v>0</v>
      </c>
      <c r="AD65" s="279">
        <f t="shared" si="51"/>
        <v>0</v>
      </c>
      <c r="AE65" s="279">
        <f t="shared" si="51"/>
        <v>0</v>
      </c>
      <c r="AF65" s="279">
        <f t="shared" si="51"/>
        <v>0</v>
      </c>
      <c r="AG65" s="279">
        <f t="shared" si="51"/>
        <v>0</v>
      </c>
      <c r="AH65" s="279">
        <f t="shared" si="51"/>
        <v>0</v>
      </c>
      <c r="AI65" s="279">
        <f t="shared" si="51"/>
        <v>0</v>
      </c>
      <c r="AJ65" s="279">
        <f t="shared" si="51"/>
        <v>0</v>
      </c>
      <c r="AK65" s="279">
        <f t="shared" si="51"/>
        <v>0</v>
      </c>
      <c r="AL65" s="279">
        <f t="shared" si="51"/>
        <v>0</v>
      </c>
      <c r="AM65" s="279">
        <f t="shared" ref="AM65:BD65" si="52">IF(OR(AM19=0,AM64=0),0,(AM64-AM19)/AM19)</f>
        <v>0</v>
      </c>
      <c r="AN65" s="279">
        <f t="shared" si="52"/>
        <v>0</v>
      </c>
      <c r="AO65" s="279">
        <f t="shared" si="52"/>
        <v>0</v>
      </c>
      <c r="AP65" s="279">
        <f t="shared" si="52"/>
        <v>0</v>
      </c>
      <c r="AQ65" s="279">
        <f t="shared" si="52"/>
        <v>0</v>
      </c>
      <c r="AR65" s="279">
        <f t="shared" si="52"/>
        <v>0</v>
      </c>
      <c r="AS65" s="279">
        <f t="shared" si="52"/>
        <v>0</v>
      </c>
      <c r="AT65" s="279">
        <f t="shared" si="52"/>
        <v>0</v>
      </c>
      <c r="AU65" s="279">
        <f t="shared" si="52"/>
        <v>0</v>
      </c>
      <c r="AV65" s="279">
        <f t="shared" si="52"/>
        <v>0</v>
      </c>
      <c r="AW65" s="279">
        <f t="shared" si="52"/>
        <v>0</v>
      </c>
      <c r="AX65" s="279">
        <f t="shared" si="52"/>
        <v>0</v>
      </c>
      <c r="AY65" s="279">
        <f t="shared" si="52"/>
        <v>0</v>
      </c>
      <c r="AZ65" s="279">
        <f t="shared" si="52"/>
        <v>0</v>
      </c>
      <c r="BA65" s="279">
        <f t="shared" si="52"/>
        <v>0</v>
      </c>
      <c r="BB65" s="279">
        <f t="shared" si="52"/>
        <v>0</v>
      </c>
      <c r="BC65" s="279">
        <f t="shared" si="52"/>
        <v>0</v>
      </c>
      <c r="BD65" s="279">
        <f t="shared" si="52"/>
        <v>0</v>
      </c>
      <c r="BE65" s="279"/>
      <c r="BF65" s="279"/>
      <c r="BG65" s="279"/>
      <c r="BH65" s="279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  <c r="BT65" s="279"/>
      <c r="BU65" s="279"/>
      <c r="BV65" s="279"/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  <c r="CV65" s="279"/>
      <c r="CW65" s="279"/>
      <c r="CX65" s="279"/>
      <c r="CY65" s="279"/>
      <c r="CZ65" s="279"/>
      <c r="DA65" s="279"/>
      <c r="DB65" s="279"/>
      <c r="DC65" s="279">
        <f>IF(OR(DC19=0,DC64=0),0,(DC64-DC19)/DC19)</f>
        <v>0</v>
      </c>
    </row>
    <row r="66" spans="2:107" ht="15" hidden="1" customHeight="1" x14ac:dyDescent="0.25">
      <c r="B66" s="259">
        <v>38</v>
      </c>
      <c r="C66" s="264" t="s">
        <v>4228</v>
      </c>
      <c r="D66" s="264"/>
      <c r="E66" s="265" t="s">
        <v>3857</v>
      </c>
      <c r="F66" s="276" t="s">
        <v>4229</v>
      </c>
      <c r="G66" s="271">
        <f>SUM(H66:DC66)</f>
        <v>0</v>
      </c>
      <c r="H66" s="277">
        <f>H58*H63</f>
        <v>0</v>
      </c>
      <c r="I66" s="277">
        <f t="shared" ref="I66:DC66" si="53">I58*I63</f>
        <v>0</v>
      </c>
      <c r="J66" s="277">
        <f t="shared" si="53"/>
        <v>0</v>
      </c>
      <c r="K66" s="277">
        <f t="shared" si="53"/>
        <v>0</v>
      </c>
      <c r="L66" s="277">
        <f t="shared" si="53"/>
        <v>0</v>
      </c>
      <c r="M66" s="277">
        <f t="shared" si="53"/>
        <v>0</v>
      </c>
      <c r="N66" s="277">
        <f t="shared" si="53"/>
        <v>0</v>
      </c>
      <c r="O66" s="277">
        <f t="shared" si="53"/>
        <v>0</v>
      </c>
      <c r="P66" s="277">
        <f t="shared" si="53"/>
        <v>0</v>
      </c>
      <c r="Q66" s="277">
        <f t="shared" si="53"/>
        <v>0</v>
      </c>
      <c r="R66" s="277">
        <f t="shared" si="53"/>
        <v>0</v>
      </c>
      <c r="S66" s="277">
        <f t="shared" si="53"/>
        <v>0</v>
      </c>
      <c r="T66" s="277">
        <f t="shared" si="53"/>
        <v>0</v>
      </c>
      <c r="U66" s="277">
        <f t="shared" si="53"/>
        <v>0</v>
      </c>
      <c r="V66" s="277">
        <f t="shared" si="53"/>
        <v>0</v>
      </c>
      <c r="W66" s="277">
        <f t="shared" si="53"/>
        <v>0</v>
      </c>
      <c r="X66" s="277">
        <f t="shared" si="53"/>
        <v>0</v>
      </c>
      <c r="Y66" s="277">
        <f t="shared" si="53"/>
        <v>0</v>
      </c>
      <c r="Z66" s="277">
        <f t="shared" si="53"/>
        <v>0</v>
      </c>
      <c r="AA66" s="277">
        <f t="shared" si="53"/>
        <v>0</v>
      </c>
      <c r="AB66" s="277">
        <f t="shared" si="53"/>
        <v>0</v>
      </c>
      <c r="AC66" s="277">
        <f t="shared" si="53"/>
        <v>0</v>
      </c>
      <c r="AD66" s="277">
        <f t="shared" si="53"/>
        <v>0</v>
      </c>
      <c r="AE66" s="277">
        <f t="shared" si="53"/>
        <v>0</v>
      </c>
      <c r="AF66" s="277">
        <f t="shared" si="53"/>
        <v>0</v>
      </c>
      <c r="AG66" s="277">
        <f t="shared" si="53"/>
        <v>0</v>
      </c>
      <c r="AH66" s="277">
        <f t="shared" si="53"/>
        <v>0</v>
      </c>
      <c r="AI66" s="277">
        <f t="shared" si="53"/>
        <v>0</v>
      </c>
      <c r="AJ66" s="277">
        <f t="shared" si="53"/>
        <v>0</v>
      </c>
      <c r="AK66" s="277">
        <f t="shared" si="53"/>
        <v>0</v>
      </c>
      <c r="AL66" s="277">
        <f t="shared" si="53"/>
        <v>0</v>
      </c>
      <c r="AM66" s="277">
        <f t="shared" si="53"/>
        <v>0</v>
      </c>
      <c r="AN66" s="277">
        <f t="shared" si="53"/>
        <v>0</v>
      </c>
      <c r="AO66" s="277">
        <f t="shared" si="53"/>
        <v>0</v>
      </c>
      <c r="AP66" s="277">
        <f t="shared" si="53"/>
        <v>0</v>
      </c>
      <c r="AQ66" s="277">
        <f t="shared" si="53"/>
        <v>0</v>
      </c>
      <c r="AR66" s="277">
        <f t="shared" si="53"/>
        <v>0</v>
      </c>
      <c r="AS66" s="277">
        <f t="shared" si="53"/>
        <v>0</v>
      </c>
      <c r="AT66" s="277">
        <f t="shared" si="53"/>
        <v>0</v>
      </c>
      <c r="AU66" s="277">
        <f t="shared" si="53"/>
        <v>0</v>
      </c>
      <c r="AV66" s="277">
        <f t="shared" si="53"/>
        <v>0</v>
      </c>
      <c r="AW66" s="277">
        <f t="shared" si="53"/>
        <v>0</v>
      </c>
      <c r="AX66" s="277">
        <f t="shared" si="53"/>
        <v>0</v>
      </c>
      <c r="AY66" s="277">
        <f t="shared" si="53"/>
        <v>0</v>
      </c>
      <c r="AZ66" s="277">
        <f t="shared" si="53"/>
        <v>0</v>
      </c>
      <c r="BA66" s="277">
        <f t="shared" si="53"/>
        <v>0</v>
      </c>
      <c r="BB66" s="277">
        <f t="shared" si="53"/>
        <v>0</v>
      </c>
      <c r="BC66" s="277">
        <f t="shared" si="53"/>
        <v>0</v>
      </c>
      <c r="BD66" s="277">
        <f t="shared" si="53"/>
        <v>0</v>
      </c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7"/>
      <c r="DB66" s="277"/>
      <c r="DC66" s="277">
        <f t="shared" si="53"/>
        <v>0</v>
      </c>
    </row>
    <row r="67" spans="2:107" ht="15" hidden="1" customHeight="1" x14ac:dyDescent="0.25">
      <c r="B67" s="259">
        <v>39</v>
      </c>
      <c r="C67" s="264" t="s">
        <v>4262</v>
      </c>
      <c r="D67" s="264"/>
      <c r="E67" s="265" t="s">
        <v>3912</v>
      </c>
      <c r="F67" s="276" t="s">
        <v>4263</v>
      </c>
      <c r="G67" s="278">
        <f t="shared" ref="G67:AL67" si="54">IF(OR(G20=0,G66=0),0,(G66-G20)/G20)</f>
        <v>0</v>
      </c>
      <c r="H67" s="279">
        <f t="shared" si="54"/>
        <v>0</v>
      </c>
      <c r="I67" s="279">
        <f t="shared" si="54"/>
        <v>0</v>
      </c>
      <c r="J67" s="279">
        <f t="shared" si="54"/>
        <v>0</v>
      </c>
      <c r="K67" s="279">
        <f t="shared" si="54"/>
        <v>0</v>
      </c>
      <c r="L67" s="279">
        <f t="shared" si="54"/>
        <v>0</v>
      </c>
      <c r="M67" s="279">
        <f t="shared" si="54"/>
        <v>0</v>
      </c>
      <c r="N67" s="279">
        <f t="shared" si="54"/>
        <v>0</v>
      </c>
      <c r="O67" s="279">
        <f t="shared" si="54"/>
        <v>0</v>
      </c>
      <c r="P67" s="279">
        <f t="shared" si="54"/>
        <v>0</v>
      </c>
      <c r="Q67" s="279">
        <f t="shared" si="54"/>
        <v>0</v>
      </c>
      <c r="R67" s="279">
        <f t="shared" si="54"/>
        <v>0</v>
      </c>
      <c r="S67" s="279">
        <f t="shared" si="54"/>
        <v>0</v>
      </c>
      <c r="T67" s="279">
        <f t="shared" si="54"/>
        <v>0</v>
      </c>
      <c r="U67" s="279">
        <f t="shared" si="54"/>
        <v>0</v>
      </c>
      <c r="V67" s="279">
        <f t="shared" si="54"/>
        <v>0</v>
      </c>
      <c r="W67" s="279">
        <f t="shared" si="54"/>
        <v>0</v>
      </c>
      <c r="X67" s="279">
        <f t="shared" si="54"/>
        <v>0</v>
      </c>
      <c r="Y67" s="279">
        <f t="shared" si="54"/>
        <v>0</v>
      </c>
      <c r="Z67" s="279">
        <f t="shared" si="54"/>
        <v>0</v>
      </c>
      <c r="AA67" s="279">
        <f t="shared" si="54"/>
        <v>0</v>
      </c>
      <c r="AB67" s="279">
        <f t="shared" si="54"/>
        <v>0</v>
      </c>
      <c r="AC67" s="279">
        <f t="shared" si="54"/>
        <v>0</v>
      </c>
      <c r="AD67" s="279">
        <f t="shared" si="54"/>
        <v>0</v>
      </c>
      <c r="AE67" s="279">
        <f t="shared" si="54"/>
        <v>0</v>
      </c>
      <c r="AF67" s="279">
        <f t="shared" si="54"/>
        <v>0</v>
      </c>
      <c r="AG67" s="279">
        <f t="shared" si="54"/>
        <v>0</v>
      </c>
      <c r="AH67" s="279">
        <f t="shared" si="54"/>
        <v>0</v>
      </c>
      <c r="AI67" s="279">
        <f t="shared" si="54"/>
        <v>0</v>
      </c>
      <c r="AJ67" s="279">
        <f t="shared" si="54"/>
        <v>0</v>
      </c>
      <c r="AK67" s="279">
        <f t="shared" si="54"/>
        <v>0</v>
      </c>
      <c r="AL67" s="279">
        <f t="shared" si="54"/>
        <v>0</v>
      </c>
      <c r="AM67" s="279">
        <f t="shared" ref="AM67:BD67" si="55">IF(OR(AM20=0,AM66=0),0,(AM66-AM20)/AM20)</f>
        <v>0</v>
      </c>
      <c r="AN67" s="279">
        <f t="shared" si="55"/>
        <v>0</v>
      </c>
      <c r="AO67" s="279">
        <f t="shared" si="55"/>
        <v>0</v>
      </c>
      <c r="AP67" s="279">
        <f t="shared" si="55"/>
        <v>0</v>
      </c>
      <c r="AQ67" s="279">
        <f t="shared" si="55"/>
        <v>0</v>
      </c>
      <c r="AR67" s="279">
        <f t="shared" si="55"/>
        <v>0</v>
      </c>
      <c r="AS67" s="279">
        <f t="shared" si="55"/>
        <v>0</v>
      </c>
      <c r="AT67" s="279">
        <f t="shared" si="55"/>
        <v>0</v>
      </c>
      <c r="AU67" s="279">
        <f t="shared" si="55"/>
        <v>0</v>
      </c>
      <c r="AV67" s="279">
        <f t="shared" si="55"/>
        <v>0</v>
      </c>
      <c r="AW67" s="279">
        <f t="shared" si="55"/>
        <v>0</v>
      </c>
      <c r="AX67" s="279">
        <f t="shared" si="55"/>
        <v>0</v>
      </c>
      <c r="AY67" s="279">
        <f t="shared" si="55"/>
        <v>0</v>
      </c>
      <c r="AZ67" s="279">
        <f t="shared" si="55"/>
        <v>0</v>
      </c>
      <c r="BA67" s="279">
        <f t="shared" si="55"/>
        <v>0</v>
      </c>
      <c r="BB67" s="279">
        <f t="shared" si="55"/>
        <v>0</v>
      </c>
      <c r="BC67" s="279">
        <f t="shared" si="55"/>
        <v>0</v>
      </c>
      <c r="BD67" s="279">
        <f t="shared" si="55"/>
        <v>0</v>
      </c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>
        <f>IF(OR(DC20=0,DC66=0),0,(DC66-DC20)/DC20)</f>
        <v>0</v>
      </c>
    </row>
    <row r="68" spans="2:107" ht="15" hidden="1" customHeight="1" x14ac:dyDescent="0.25"/>
    <row r="69" spans="2:107" ht="15" hidden="1" customHeight="1" x14ac:dyDescent="0.25">
      <c r="B69" s="858" t="s">
        <v>4264</v>
      </c>
      <c r="C69" s="859"/>
      <c r="D69" s="859"/>
      <c r="E69" s="859"/>
      <c r="F69" s="859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</row>
    <row r="70" spans="2:107" s="103" customFormat="1" ht="15" hidden="1" customHeight="1" x14ac:dyDescent="0.25">
      <c r="B70" s="259"/>
      <c r="C70" s="260"/>
      <c r="D70" s="260"/>
      <c r="E70" s="260"/>
      <c r="F70" s="261"/>
      <c r="G70" s="262" t="s">
        <v>76</v>
      </c>
      <c r="H70" s="263" t="s">
        <v>4095</v>
      </c>
      <c r="I70" s="263" t="s">
        <v>4096</v>
      </c>
      <c r="J70" s="263" t="s">
        <v>4097</v>
      </c>
      <c r="K70" s="263" t="s">
        <v>4098</v>
      </c>
      <c r="L70" s="263" t="s">
        <v>4099</v>
      </c>
      <c r="M70" s="263" t="s">
        <v>4100</v>
      </c>
      <c r="N70" s="263" t="s">
        <v>4101</v>
      </c>
      <c r="O70" s="263" t="s">
        <v>4102</v>
      </c>
      <c r="P70" s="263" t="s">
        <v>4103</v>
      </c>
      <c r="Q70" s="263" t="s">
        <v>4104</v>
      </c>
      <c r="R70" s="263" t="s">
        <v>4105</v>
      </c>
      <c r="S70" s="263" t="s">
        <v>4106</v>
      </c>
      <c r="T70" s="263" t="s">
        <v>4107</v>
      </c>
      <c r="U70" s="263" t="s">
        <v>4108</v>
      </c>
      <c r="V70" s="263" t="s">
        <v>4109</v>
      </c>
      <c r="W70" s="263" t="s">
        <v>4110</v>
      </c>
      <c r="X70" s="263" t="s">
        <v>4111</v>
      </c>
      <c r="Y70" s="263" t="s">
        <v>4112</v>
      </c>
      <c r="Z70" s="263" t="s">
        <v>4113</v>
      </c>
      <c r="AA70" s="263" t="s">
        <v>4114</v>
      </c>
      <c r="AB70" s="263" t="s">
        <v>4115</v>
      </c>
      <c r="AC70" s="263" t="s">
        <v>4116</v>
      </c>
      <c r="AD70" s="263" t="s">
        <v>4117</v>
      </c>
      <c r="AE70" s="263" t="s">
        <v>4118</v>
      </c>
      <c r="AF70" s="263" t="s">
        <v>4119</v>
      </c>
      <c r="AG70" s="263" t="s">
        <v>4120</v>
      </c>
      <c r="AH70" s="263" t="s">
        <v>4121</v>
      </c>
      <c r="AI70" s="263" t="s">
        <v>4122</v>
      </c>
      <c r="AJ70" s="263" t="s">
        <v>4123</v>
      </c>
      <c r="AK70" s="263" t="s">
        <v>4124</v>
      </c>
      <c r="AL70" s="263" t="s">
        <v>4125</v>
      </c>
      <c r="AM70" s="263" t="s">
        <v>4126</v>
      </c>
      <c r="AN70" s="263" t="s">
        <v>4127</v>
      </c>
      <c r="AO70" s="263" t="s">
        <v>4128</v>
      </c>
      <c r="AP70" s="263" t="s">
        <v>4129</v>
      </c>
      <c r="AQ70" s="263" t="s">
        <v>4130</v>
      </c>
      <c r="AR70" s="263" t="s">
        <v>4131</v>
      </c>
      <c r="AS70" s="263" t="s">
        <v>4132</v>
      </c>
      <c r="AT70" s="263" t="s">
        <v>4133</v>
      </c>
      <c r="AU70" s="263" t="s">
        <v>4134</v>
      </c>
      <c r="AV70" s="263" t="s">
        <v>4135</v>
      </c>
      <c r="AW70" s="263" t="s">
        <v>4136</v>
      </c>
      <c r="AX70" s="263" t="s">
        <v>4137</v>
      </c>
      <c r="AY70" s="263" t="s">
        <v>4138</v>
      </c>
      <c r="AZ70" s="263" t="s">
        <v>4139</v>
      </c>
      <c r="BA70" s="263" t="s">
        <v>4140</v>
      </c>
      <c r="BB70" s="263" t="s">
        <v>4141</v>
      </c>
      <c r="BC70" s="263" t="s">
        <v>4142</v>
      </c>
      <c r="BD70" s="263" t="s">
        <v>4143</v>
      </c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 t="s">
        <v>4144</v>
      </c>
    </row>
    <row r="71" spans="2:107" ht="15" hidden="1" customHeight="1" x14ac:dyDescent="0.25">
      <c r="B71" s="259">
        <v>41</v>
      </c>
      <c r="C71" s="264" t="s">
        <v>4196</v>
      </c>
      <c r="D71" s="264"/>
      <c r="E71" s="265"/>
      <c r="F71" s="266"/>
      <c r="G71" s="267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</row>
    <row r="72" spans="2:107" ht="15" hidden="1" customHeight="1" x14ac:dyDescent="0.25">
      <c r="B72" s="259">
        <v>42</v>
      </c>
      <c r="C72" s="264" t="s">
        <v>4256</v>
      </c>
      <c r="D72" s="264"/>
      <c r="E72" s="265"/>
      <c r="F72" s="268" t="s">
        <v>4265</v>
      </c>
      <c r="G72" s="269">
        <f>SUM(H72:DC72)</f>
        <v>0</v>
      </c>
      <c r="H72" s="270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</row>
    <row r="73" spans="2:107" ht="15" hidden="1" customHeight="1" x14ac:dyDescent="0.25">
      <c r="B73" s="902">
        <v>43</v>
      </c>
      <c r="C73" s="264" t="s">
        <v>4258</v>
      </c>
      <c r="D73" s="264"/>
      <c r="E73" s="265" t="s">
        <v>4199</v>
      </c>
      <c r="F73" s="268" t="s">
        <v>4266</v>
      </c>
      <c r="G73" s="271">
        <f>SUM(H73:DC73)</f>
        <v>0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</row>
    <row r="74" spans="2:107" ht="15" hidden="1" customHeight="1" x14ac:dyDescent="0.25">
      <c r="B74" s="760"/>
      <c r="C74" s="264" t="s">
        <v>4205</v>
      </c>
      <c r="D74" s="264"/>
      <c r="E74" s="265" t="s">
        <v>3857</v>
      </c>
      <c r="F74" s="268" t="s">
        <v>4233</v>
      </c>
      <c r="G74" s="271">
        <f>SUM(H74:DC74)</f>
        <v>0</v>
      </c>
      <c r="H74" s="272">
        <f>(H72*H73)/1000</f>
        <v>0</v>
      </c>
      <c r="I74" s="272">
        <f t="shared" ref="I74:DC74" si="56">(I72*I73)/1000</f>
        <v>0</v>
      </c>
      <c r="J74" s="272">
        <f t="shared" si="56"/>
        <v>0</v>
      </c>
      <c r="K74" s="272">
        <f t="shared" si="56"/>
        <v>0</v>
      </c>
      <c r="L74" s="272">
        <f t="shared" si="56"/>
        <v>0</v>
      </c>
      <c r="M74" s="272">
        <f t="shared" si="56"/>
        <v>0</v>
      </c>
      <c r="N74" s="272">
        <f t="shared" si="56"/>
        <v>0</v>
      </c>
      <c r="O74" s="272">
        <f t="shared" si="56"/>
        <v>0</v>
      </c>
      <c r="P74" s="272">
        <f t="shared" si="56"/>
        <v>0</v>
      </c>
      <c r="Q74" s="272">
        <f t="shared" si="56"/>
        <v>0</v>
      </c>
      <c r="R74" s="272">
        <f t="shared" si="56"/>
        <v>0</v>
      </c>
      <c r="S74" s="272">
        <f t="shared" si="56"/>
        <v>0</v>
      </c>
      <c r="T74" s="272">
        <f t="shared" si="56"/>
        <v>0</v>
      </c>
      <c r="U74" s="272">
        <f t="shared" si="56"/>
        <v>0</v>
      </c>
      <c r="V74" s="272">
        <f t="shared" si="56"/>
        <v>0</v>
      </c>
      <c r="W74" s="272">
        <f t="shared" si="56"/>
        <v>0</v>
      </c>
      <c r="X74" s="272">
        <f t="shared" si="56"/>
        <v>0</v>
      </c>
      <c r="Y74" s="272">
        <f t="shared" si="56"/>
        <v>0</v>
      </c>
      <c r="Z74" s="272">
        <f t="shared" si="56"/>
        <v>0</v>
      </c>
      <c r="AA74" s="272">
        <f t="shared" si="56"/>
        <v>0</v>
      </c>
      <c r="AB74" s="272">
        <f t="shared" si="56"/>
        <v>0</v>
      </c>
      <c r="AC74" s="272">
        <f t="shared" si="56"/>
        <v>0</v>
      </c>
      <c r="AD74" s="272">
        <f t="shared" si="56"/>
        <v>0</v>
      </c>
      <c r="AE74" s="272">
        <f t="shared" si="56"/>
        <v>0</v>
      </c>
      <c r="AF74" s="272">
        <f t="shared" si="56"/>
        <v>0</v>
      </c>
      <c r="AG74" s="272">
        <f t="shared" si="56"/>
        <v>0</v>
      </c>
      <c r="AH74" s="272">
        <f t="shared" si="56"/>
        <v>0</v>
      </c>
      <c r="AI74" s="272">
        <f t="shared" si="56"/>
        <v>0</v>
      </c>
      <c r="AJ74" s="272">
        <f t="shared" si="56"/>
        <v>0</v>
      </c>
      <c r="AK74" s="272">
        <f t="shared" si="56"/>
        <v>0</v>
      </c>
      <c r="AL74" s="272">
        <f t="shared" si="56"/>
        <v>0</v>
      </c>
      <c r="AM74" s="272">
        <f t="shared" si="56"/>
        <v>0</v>
      </c>
      <c r="AN74" s="272">
        <f t="shared" si="56"/>
        <v>0</v>
      </c>
      <c r="AO74" s="272">
        <f t="shared" si="56"/>
        <v>0</v>
      </c>
      <c r="AP74" s="272">
        <f t="shared" si="56"/>
        <v>0</v>
      </c>
      <c r="AQ74" s="272">
        <f t="shared" si="56"/>
        <v>0</v>
      </c>
      <c r="AR74" s="272">
        <f t="shared" si="56"/>
        <v>0</v>
      </c>
      <c r="AS74" s="272">
        <f t="shared" si="56"/>
        <v>0</v>
      </c>
      <c r="AT74" s="272">
        <f t="shared" si="56"/>
        <v>0</v>
      </c>
      <c r="AU74" s="272">
        <f t="shared" si="56"/>
        <v>0</v>
      </c>
      <c r="AV74" s="272">
        <f t="shared" si="56"/>
        <v>0</v>
      </c>
      <c r="AW74" s="272">
        <f t="shared" si="56"/>
        <v>0</v>
      </c>
      <c r="AX74" s="272">
        <f t="shared" si="56"/>
        <v>0</v>
      </c>
      <c r="AY74" s="272">
        <f t="shared" si="56"/>
        <v>0</v>
      </c>
      <c r="AZ74" s="272">
        <f t="shared" si="56"/>
        <v>0</v>
      </c>
      <c r="BA74" s="272">
        <f t="shared" si="56"/>
        <v>0</v>
      </c>
      <c r="BB74" s="272">
        <f t="shared" si="56"/>
        <v>0</v>
      </c>
      <c r="BC74" s="272">
        <f t="shared" si="56"/>
        <v>0</v>
      </c>
      <c r="BD74" s="272">
        <f t="shared" si="56"/>
        <v>0</v>
      </c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2"/>
      <c r="CF74" s="272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>
        <f t="shared" si="56"/>
        <v>0</v>
      </c>
    </row>
    <row r="75" spans="2:107" ht="15" hidden="1" customHeight="1" x14ac:dyDescent="0.25">
      <c r="B75" s="902">
        <v>44</v>
      </c>
      <c r="C75" s="264" t="s">
        <v>4207</v>
      </c>
      <c r="D75" s="264"/>
      <c r="E75" s="273" t="s">
        <v>4208</v>
      </c>
      <c r="F75" s="268"/>
      <c r="G75" s="274" t="str">
        <f>IF(COUNTA(H75:DC75)=0,"",IF(OR(LARGE(H75:DC75,1)&gt;24,SMALL(H75:DC75,1)&lt;0),"ERRO",""))</f>
        <v/>
      </c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  <c r="CV75" s="238"/>
      <c r="CW75" s="238"/>
      <c r="CX75" s="238"/>
      <c r="CY75" s="238"/>
      <c r="CZ75" s="238"/>
      <c r="DA75" s="238"/>
      <c r="DB75" s="238"/>
      <c r="DC75" s="238"/>
    </row>
    <row r="76" spans="2:107" ht="15" hidden="1" customHeight="1" x14ac:dyDescent="0.25">
      <c r="B76" s="758"/>
      <c r="C76" s="275" t="s">
        <v>4209</v>
      </c>
      <c r="D76" s="275"/>
      <c r="E76" s="552" t="s">
        <v>4210</v>
      </c>
      <c r="F76" s="268"/>
      <c r="G76" s="274" t="str">
        <f>IF(COUNTA(H76:DC76)=0,"",IF(OR(LARGE(H76:DC76,1)&gt;365,SMALL(H76:DC76,1)&lt;0),"ERRO",""))</f>
        <v/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</row>
    <row r="77" spans="2:107" ht="15" hidden="1" customHeight="1" x14ac:dyDescent="0.25">
      <c r="B77" s="760"/>
      <c r="C77" s="264" t="s">
        <v>4211</v>
      </c>
      <c r="D77" s="264"/>
      <c r="E77" s="265" t="s">
        <v>4212</v>
      </c>
      <c r="F77" s="276" t="s">
        <v>4234</v>
      </c>
      <c r="G77" s="274" t="str">
        <f>IF(COUNTA(H77:DC77)=0,"",IF(OR(LARGE(H77:DC77,1)&gt;8760,SMALL(H77:DC77,1)&lt;0),"ERRO",""))</f>
        <v/>
      </c>
      <c r="H77" s="272">
        <f>H75*H76</f>
        <v>0</v>
      </c>
      <c r="I77" s="272">
        <f t="shared" ref="I77:DC77" si="57">I75*I76</f>
        <v>0</v>
      </c>
      <c r="J77" s="272">
        <f t="shared" si="57"/>
        <v>0</v>
      </c>
      <c r="K77" s="272">
        <f t="shared" si="57"/>
        <v>0</v>
      </c>
      <c r="L77" s="272">
        <f t="shared" si="57"/>
        <v>0</v>
      </c>
      <c r="M77" s="272">
        <f t="shared" si="57"/>
        <v>0</v>
      </c>
      <c r="N77" s="272">
        <f t="shared" si="57"/>
        <v>0</v>
      </c>
      <c r="O77" s="272">
        <f t="shared" si="57"/>
        <v>0</v>
      </c>
      <c r="P77" s="272">
        <f t="shared" si="57"/>
        <v>0</v>
      </c>
      <c r="Q77" s="272">
        <f t="shared" si="57"/>
        <v>0</v>
      </c>
      <c r="R77" s="272">
        <f t="shared" si="57"/>
        <v>0</v>
      </c>
      <c r="S77" s="272">
        <f t="shared" si="57"/>
        <v>0</v>
      </c>
      <c r="T77" s="272">
        <f t="shared" si="57"/>
        <v>0</v>
      </c>
      <c r="U77" s="272">
        <f t="shared" si="57"/>
        <v>0</v>
      </c>
      <c r="V77" s="272">
        <f t="shared" si="57"/>
        <v>0</v>
      </c>
      <c r="W77" s="272">
        <f t="shared" si="57"/>
        <v>0</v>
      </c>
      <c r="X77" s="272">
        <f t="shared" si="57"/>
        <v>0</v>
      </c>
      <c r="Y77" s="272">
        <f t="shared" si="57"/>
        <v>0</v>
      </c>
      <c r="Z77" s="272">
        <f t="shared" si="57"/>
        <v>0</v>
      </c>
      <c r="AA77" s="272">
        <f t="shared" si="57"/>
        <v>0</v>
      </c>
      <c r="AB77" s="272">
        <f t="shared" si="57"/>
        <v>0</v>
      </c>
      <c r="AC77" s="272">
        <f t="shared" si="57"/>
        <v>0</v>
      </c>
      <c r="AD77" s="272">
        <f t="shared" si="57"/>
        <v>0</v>
      </c>
      <c r="AE77" s="272">
        <f t="shared" si="57"/>
        <v>0</v>
      </c>
      <c r="AF77" s="272">
        <f t="shared" si="57"/>
        <v>0</v>
      </c>
      <c r="AG77" s="272">
        <f t="shared" si="57"/>
        <v>0</v>
      </c>
      <c r="AH77" s="272">
        <f t="shared" si="57"/>
        <v>0</v>
      </c>
      <c r="AI77" s="272">
        <f t="shared" si="57"/>
        <v>0</v>
      </c>
      <c r="AJ77" s="272">
        <f t="shared" si="57"/>
        <v>0</v>
      </c>
      <c r="AK77" s="272">
        <f t="shared" si="57"/>
        <v>0</v>
      </c>
      <c r="AL77" s="272">
        <f t="shared" si="57"/>
        <v>0</v>
      </c>
      <c r="AM77" s="272">
        <f t="shared" si="57"/>
        <v>0</v>
      </c>
      <c r="AN77" s="272">
        <f t="shared" si="57"/>
        <v>0</v>
      </c>
      <c r="AO77" s="272">
        <f t="shared" si="57"/>
        <v>0</v>
      </c>
      <c r="AP77" s="272">
        <f t="shared" si="57"/>
        <v>0</v>
      </c>
      <c r="AQ77" s="272">
        <f t="shared" si="57"/>
        <v>0</v>
      </c>
      <c r="AR77" s="272">
        <f t="shared" si="57"/>
        <v>0</v>
      </c>
      <c r="AS77" s="272">
        <f t="shared" si="57"/>
        <v>0</v>
      </c>
      <c r="AT77" s="272">
        <f t="shared" si="57"/>
        <v>0</v>
      </c>
      <c r="AU77" s="272">
        <f t="shared" si="57"/>
        <v>0</v>
      </c>
      <c r="AV77" s="272">
        <f t="shared" si="57"/>
        <v>0</v>
      </c>
      <c r="AW77" s="272">
        <f t="shared" si="57"/>
        <v>0</v>
      </c>
      <c r="AX77" s="272">
        <f t="shared" si="57"/>
        <v>0</v>
      </c>
      <c r="AY77" s="272">
        <f t="shared" si="57"/>
        <v>0</v>
      </c>
      <c r="AZ77" s="272">
        <f t="shared" si="57"/>
        <v>0</v>
      </c>
      <c r="BA77" s="272">
        <f t="shared" si="57"/>
        <v>0</v>
      </c>
      <c r="BB77" s="272">
        <f t="shared" si="57"/>
        <v>0</v>
      </c>
      <c r="BC77" s="272">
        <f t="shared" si="57"/>
        <v>0</v>
      </c>
      <c r="BD77" s="272">
        <f t="shared" si="57"/>
        <v>0</v>
      </c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>
        <f t="shared" si="57"/>
        <v>0</v>
      </c>
    </row>
    <row r="78" spans="2:107" ht="15" hidden="1" customHeight="1" x14ac:dyDescent="0.25">
      <c r="B78" s="902">
        <v>45</v>
      </c>
      <c r="C78" s="264" t="s">
        <v>4222</v>
      </c>
      <c r="D78" s="264"/>
      <c r="E78" s="265" t="s">
        <v>3857</v>
      </c>
      <c r="F78" s="268" t="s">
        <v>4238</v>
      </c>
      <c r="G78" s="271">
        <f>SUM(H78:DC78)</f>
        <v>0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</row>
    <row r="79" spans="2:107" ht="15" hidden="1" customHeight="1" x14ac:dyDescent="0.25">
      <c r="B79" s="760"/>
      <c r="C79" s="264" t="s">
        <v>4224</v>
      </c>
      <c r="D79" s="264"/>
      <c r="E79" s="265"/>
      <c r="F79" s="276" t="s">
        <v>4239</v>
      </c>
      <c r="G79" s="274" t="str">
        <f>IF(COUNTA(H79:DC79)=0,"",IF(OR(LARGE(H79:DC79,1)&gt;1,SMALL(H79:DC79,1)&lt;0),"ERRO",""))</f>
        <v/>
      </c>
      <c r="H79" s="272">
        <f>IF(H74=0,0,H78/H74)</f>
        <v>0</v>
      </c>
      <c r="I79" s="272">
        <f t="shared" ref="I79:DC79" si="58">IF(I74=0,0,I78/I74)</f>
        <v>0</v>
      </c>
      <c r="J79" s="272">
        <f t="shared" si="58"/>
        <v>0</v>
      </c>
      <c r="K79" s="272">
        <f t="shared" si="58"/>
        <v>0</v>
      </c>
      <c r="L79" s="272">
        <f t="shared" si="58"/>
        <v>0</v>
      </c>
      <c r="M79" s="272">
        <f t="shared" si="58"/>
        <v>0</v>
      </c>
      <c r="N79" s="272">
        <f t="shared" si="58"/>
        <v>0</v>
      </c>
      <c r="O79" s="272">
        <f t="shared" si="58"/>
        <v>0</v>
      </c>
      <c r="P79" s="272">
        <f t="shared" si="58"/>
        <v>0</v>
      </c>
      <c r="Q79" s="272">
        <f t="shared" si="58"/>
        <v>0</v>
      </c>
      <c r="R79" s="272">
        <f t="shared" si="58"/>
        <v>0</v>
      </c>
      <c r="S79" s="272">
        <f t="shared" si="58"/>
        <v>0</v>
      </c>
      <c r="T79" s="272">
        <f t="shared" si="58"/>
        <v>0</v>
      </c>
      <c r="U79" s="272">
        <f t="shared" si="58"/>
        <v>0</v>
      </c>
      <c r="V79" s="272">
        <f t="shared" si="58"/>
        <v>0</v>
      </c>
      <c r="W79" s="272">
        <f t="shared" si="58"/>
        <v>0</v>
      </c>
      <c r="X79" s="272">
        <f t="shared" si="58"/>
        <v>0</v>
      </c>
      <c r="Y79" s="272">
        <f t="shared" si="58"/>
        <v>0</v>
      </c>
      <c r="Z79" s="272">
        <f t="shared" si="58"/>
        <v>0</v>
      </c>
      <c r="AA79" s="272">
        <f t="shared" si="58"/>
        <v>0</v>
      </c>
      <c r="AB79" s="272">
        <f t="shared" si="58"/>
        <v>0</v>
      </c>
      <c r="AC79" s="272">
        <f t="shared" si="58"/>
        <v>0</v>
      </c>
      <c r="AD79" s="272">
        <f t="shared" si="58"/>
        <v>0</v>
      </c>
      <c r="AE79" s="272">
        <f t="shared" si="58"/>
        <v>0</v>
      </c>
      <c r="AF79" s="272">
        <f t="shared" si="58"/>
        <v>0</v>
      </c>
      <c r="AG79" s="272">
        <f t="shared" si="58"/>
        <v>0</v>
      </c>
      <c r="AH79" s="272">
        <f t="shared" si="58"/>
        <v>0</v>
      </c>
      <c r="AI79" s="272">
        <f t="shared" si="58"/>
        <v>0</v>
      </c>
      <c r="AJ79" s="272">
        <f t="shared" si="58"/>
        <v>0</v>
      </c>
      <c r="AK79" s="272">
        <f t="shared" si="58"/>
        <v>0</v>
      </c>
      <c r="AL79" s="272">
        <f t="shared" si="58"/>
        <v>0</v>
      </c>
      <c r="AM79" s="272">
        <f t="shared" si="58"/>
        <v>0</v>
      </c>
      <c r="AN79" s="272">
        <f t="shared" si="58"/>
        <v>0</v>
      </c>
      <c r="AO79" s="272">
        <f t="shared" si="58"/>
        <v>0</v>
      </c>
      <c r="AP79" s="272">
        <f t="shared" si="58"/>
        <v>0</v>
      </c>
      <c r="AQ79" s="272">
        <f t="shared" si="58"/>
        <v>0</v>
      </c>
      <c r="AR79" s="272">
        <f t="shared" si="58"/>
        <v>0</v>
      </c>
      <c r="AS79" s="272">
        <f t="shared" si="58"/>
        <v>0</v>
      </c>
      <c r="AT79" s="272">
        <f t="shared" si="58"/>
        <v>0</v>
      </c>
      <c r="AU79" s="272">
        <f t="shared" si="58"/>
        <v>0</v>
      </c>
      <c r="AV79" s="272">
        <f t="shared" si="58"/>
        <v>0</v>
      </c>
      <c r="AW79" s="272">
        <f t="shared" si="58"/>
        <v>0</v>
      </c>
      <c r="AX79" s="272">
        <f t="shared" si="58"/>
        <v>0</v>
      </c>
      <c r="AY79" s="272">
        <f t="shared" si="58"/>
        <v>0</v>
      </c>
      <c r="AZ79" s="272">
        <f t="shared" si="58"/>
        <v>0</v>
      </c>
      <c r="BA79" s="272">
        <f t="shared" si="58"/>
        <v>0</v>
      </c>
      <c r="BB79" s="272">
        <f t="shared" si="58"/>
        <v>0</v>
      </c>
      <c r="BC79" s="272">
        <f t="shared" si="58"/>
        <v>0</v>
      </c>
      <c r="BD79" s="272">
        <f t="shared" si="58"/>
        <v>0</v>
      </c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/>
      <c r="DC79" s="272">
        <f t="shared" si="58"/>
        <v>0</v>
      </c>
    </row>
    <row r="80" spans="2:107" ht="15" hidden="1" customHeight="1" x14ac:dyDescent="0.25">
      <c r="B80" s="259">
        <v>46</v>
      </c>
      <c r="C80" s="264" t="s">
        <v>4226</v>
      </c>
      <c r="D80" s="264"/>
      <c r="E80" s="265" t="s">
        <v>3854</v>
      </c>
      <c r="F80" s="276" t="s">
        <v>4240</v>
      </c>
      <c r="G80" s="271">
        <f>SUM(H80:DC80)</f>
        <v>0</v>
      </c>
      <c r="H80" s="277">
        <f>(H74*H77)/1000</f>
        <v>0</v>
      </c>
      <c r="I80" s="277">
        <f t="shared" ref="I80:DC80" si="59">(I74*I77)/1000</f>
        <v>0</v>
      </c>
      <c r="J80" s="277">
        <f t="shared" si="59"/>
        <v>0</v>
      </c>
      <c r="K80" s="277">
        <f t="shared" si="59"/>
        <v>0</v>
      </c>
      <c r="L80" s="277">
        <f t="shared" si="59"/>
        <v>0</v>
      </c>
      <c r="M80" s="277">
        <f t="shared" si="59"/>
        <v>0</v>
      </c>
      <c r="N80" s="277">
        <f t="shared" si="59"/>
        <v>0</v>
      </c>
      <c r="O80" s="277">
        <f t="shared" si="59"/>
        <v>0</v>
      </c>
      <c r="P80" s="277">
        <f t="shared" si="59"/>
        <v>0</v>
      </c>
      <c r="Q80" s="277">
        <f t="shared" si="59"/>
        <v>0</v>
      </c>
      <c r="R80" s="277">
        <f t="shared" si="59"/>
        <v>0</v>
      </c>
      <c r="S80" s="277">
        <f t="shared" si="59"/>
        <v>0</v>
      </c>
      <c r="T80" s="277">
        <f t="shared" si="59"/>
        <v>0</v>
      </c>
      <c r="U80" s="277">
        <f t="shared" si="59"/>
        <v>0</v>
      </c>
      <c r="V80" s="277">
        <f t="shared" si="59"/>
        <v>0</v>
      </c>
      <c r="W80" s="277">
        <f t="shared" si="59"/>
        <v>0</v>
      </c>
      <c r="X80" s="277">
        <f t="shared" si="59"/>
        <v>0</v>
      </c>
      <c r="Y80" s="277">
        <f t="shared" si="59"/>
        <v>0</v>
      </c>
      <c r="Z80" s="277">
        <f t="shared" si="59"/>
        <v>0</v>
      </c>
      <c r="AA80" s="277">
        <f t="shared" si="59"/>
        <v>0</v>
      </c>
      <c r="AB80" s="277">
        <f t="shared" si="59"/>
        <v>0</v>
      </c>
      <c r="AC80" s="277">
        <f t="shared" si="59"/>
        <v>0</v>
      </c>
      <c r="AD80" s="277">
        <f t="shared" si="59"/>
        <v>0</v>
      </c>
      <c r="AE80" s="277">
        <f t="shared" si="59"/>
        <v>0</v>
      </c>
      <c r="AF80" s="277">
        <f t="shared" si="59"/>
        <v>0</v>
      </c>
      <c r="AG80" s="277">
        <f t="shared" si="59"/>
        <v>0</v>
      </c>
      <c r="AH80" s="277">
        <f t="shared" si="59"/>
        <v>0</v>
      </c>
      <c r="AI80" s="277">
        <f t="shared" si="59"/>
        <v>0</v>
      </c>
      <c r="AJ80" s="277">
        <f t="shared" si="59"/>
        <v>0</v>
      </c>
      <c r="AK80" s="277">
        <f t="shared" si="59"/>
        <v>0</v>
      </c>
      <c r="AL80" s="277">
        <f t="shared" si="59"/>
        <v>0</v>
      </c>
      <c r="AM80" s="277">
        <f t="shared" si="59"/>
        <v>0</v>
      </c>
      <c r="AN80" s="277">
        <f t="shared" si="59"/>
        <v>0</v>
      </c>
      <c r="AO80" s="277">
        <f t="shared" si="59"/>
        <v>0</v>
      </c>
      <c r="AP80" s="277">
        <f t="shared" si="59"/>
        <v>0</v>
      </c>
      <c r="AQ80" s="277">
        <f t="shared" si="59"/>
        <v>0</v>
      </c>
      <c r="AR80" s="277">
        <f t="shared" si="59"/>
        <v>0</v>
      </c>
      <c r="AS80" s="277">
        <f t="shared" si="59"/>
        <v>0</v>
      </c>
      <c r="AT80" s="277">
        <f t="shared" si="59"/>
        <v>0</v>
      </c>
      <c r="AU80" s="277">
        <f t="shared" si="59"/>
        <v>0</v>
      </c>
      <c r="AV80" s="277">
        <f t="shared" si="59"/>
        <v>0</v>
      </c>
      <c r="AW80" s="277">
        <f t="shared" si="59"/>
        <v>0</v>
      </c>
      <c r="AX80" s="277">
        <f t="shared" si="59"/>
        <v>0</v>
      </c>
      <c r="AY80" s="277">
        <f t="shared" si="59"/>
        <v>0</v>
      </c>
      <c r="AZ80" s="277">
        <f t="shared" si="59"/>
        <v>0</v>
      </c>
      <c r="BA80" s="277">
        <f t="shared" si="59"/>
        <v>0</v>
      </c>
      <c r="BB80" s="277">
        <f t="shared" si="59"/>
        <v>0</v>
      </c>
      <c r="BC80" s="277">
        <f t="shared" si="59"/>
        <v>0</v>
      </c>
      <c r="BD80" s="277">
        <f t="shared" si="59"/>
        <v>0</v>
      </c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7"/>
      <c r="DB80" s="277"/>
      <c r="DC80" s="277">
        <f t="shared" si="59"/>
        <v>0</v>
      </c>
    </row>
    <row r="81" spans="2:107" ht="15" hidden="1" customHeight="1" x14ac:dyDescent="0.25">
      <c r="B81" s="259">
        <v>47</v>
      </c>
      <c r="C81" s="264" t="s">
        <v>4260</v>
      </c>
      <c r="D81" s="264"/>
      <c r="E81" s="265" t="s">
        <v>3912</v>
      </c>
      <c r="F81" s="276" t="s">
        <v>4267</v>
      </c>
      <c r="G81" s="278">
        <f t="shared" ref="G81:AL81" si="60">IF(OR(G37=0,G80=0),0,(G80-G37)/G37)</f>
        <v>0</v>
      </c>
      <c r="H81" s="279">
        <f t="shared" si="60"/>
        <v>0</v>
      </c>
      <c r="I81" s="279">
        <f t="shared" si="60"/>
        <v>0</v>
      </c>
      <c r="J81" s="279">
        <f t="shared" si="60"/>
        <v>0</v>
      </c>
      <c r="K81" s="279">
        <f t="shared" si="60"/>
        <v>0</v>
      </c>
      <c r="L81" s="279">
        <f t="shared" si="60"/>
        <v>0</v>
      </c>
      <c r="M81" s="279">
        <f t="shared" si="60"/>
        <v>0</v>
      </c>
      <c r="N81" s="279">
        <f t="shared" si="60"/>
        <v>0</v>
      </c>
      <c r="O81" s="279">
        <f t="shared" si="60"/>
        <v>0</v>
      </c>
      <c r="P81" s="279">
        <f t="shared" si="60"/>
        <v>0</v>
      </c>
      <c r="Q81" s="279">
        <f t="shared" si="60"/>
        <v>0</v>
      </c>
      <c r="R81" s="279">
        <f t="shared" si="60"/>
        <v>0</v>
      </c>
      <c r="S81" s="279">
        <f t="shared" si="60"/>
        <v>0</v>
      </c>
      <c r="T81" s="279">
        <f t="shared" si="60"/>
        <v>0</v>
      </c>
      <c r="U81" s="279">
        <f t="shared" si="60"/>
        <v>0</v>
      </c>
      <c r="V81" s="279">
        <f t="shared" si="60"/>
        <v>0</v>
      </c>
      <c r="W81" s="279">
        <f t="shared" si="60"/>
        <v>0</v>
      </c>
      <c r="X81" s="279">
        <f t="shared" si="60"/>
        <v>0</v>
      </c>
      <c r="Y81" s="279">
        <f t="shared" si="60"/>
        <v>0</v>
      </c>
      <c r="Z81" s="279">
        <f t="shared" si="60"/>
        <v>0</v>
      </c>
      <c r="AA81" s="279">
        <f t="shared" si="60"/>
        <v>0</v>
      </c>
      <c r="AB81" s="279">
        <f t="shared" si="60"/>
        <v>0</v>
      </c>
      <c r="AC81" s="279">
        <f t="shared" si="60"/>
        <v>0</v>
      </c>
      <c r="AD81" s="279">
        <f t="shared" si="60"/>
        <v>0</v>
      </c>
      <c r="AE81" s="279">
        <f t="shared" si="60"/>
        <v>0</v>
      </c>
      <c r="AF81" s="279">
        <f t="shared" si="60"/>
        <v>0</v>
      </c>
      <c r="AG81" s="279">
        <f t="shared" si="60"/>
        <v>0</v>
      </c>
      <c r="AH81" s="279">
        <f t="shared" si="60"/>
        <v>0</v>
      </c>
      <c r="AI81" s="279">
        <f t="shared" si="60"/>
        <v>0</v>
      </c>
      <c r="AJ81" s="279">
        <f t="shared" si="60"/>
        <v>0</v>
      </c>
      <c r="AK81" s="279">
        <f t="shared" si="60"/>
        <v>0</v>
      </c>
      <c r="AL81" s="279">
        <f t="shared" si="60"/>
        <v>0</v>
      </c>
      <c r="AM81" s="279">
        <f t="shared" ref="AM81:BD81" si="61">IF(OR(AM37=0,AM80=0),0,(AM80-AM37)/AM37)</f>
        <v>0</v>
      </c>
      <c r="AN81" s="279">
        <f t="shared" si="61"/>
        <v>0</v>
      </c>
      <c r="AO81" s="279">
        <f t="shared" si="61"/>
        <v>0</v>
      </c>
      <c r="AP81" s="279">
        <f t="shared" si="61"/>
        <v>0</v>
      </c>
      <c r="AQ81" s="279">
        <f t="shared" si="61"/>
        <v>0</v>
      </c>
      <c r="AR81" s="279">
        <f t="shared" si="61"/>
        <v>0</v>
      </c>
      <c r="AS81" s="279">
        <f t="shared" si="61"/>
        <v>0</v>
      </c>
      <c r="AT81" s="279">
        <f t="shared" si="61"/>
        <v>0</v>
      </c>
      <c r="AU81" s="279">
        <f t="shared" si="61"/>
        <v>0</v>
      </c>
      <c r="AV81" s="279">
        <f t="shared" si="61"/>
        <v>0</v>
      </c>
      <c r="AW81" s="279">
        <f t="shared" si="61"/>
        <v>0</v>
      </c>
      <c r="AX81" s="279">
        <f t="shared" si="61"/>
        <v>0</v>
      </c>
      <c r="AY81" s="279">
        <f t="shared" si="61"/>
        <v>0</v>
      </c>
      <c r="AZ81" s="279">
        <f t="shared" si="61"/>
        <v>0</v>
      </c>
      <c r="BA81" s="279">
        <f t="shared" si="61"/>
        <v>0</v>
      </c>
      <c r="BB81" s="279">
        <f t="shared" si="61"/>
        <v>0</v>
      </c>
      <c r="BC81" s="279">
        <f t="shared" si="61"/>
        <v>0</v>
      </c>
      <c r="BD81" s="279">
        <f t="shared" si="61"/>
        <v>0</v>
      </c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79"/>
      <c r="BU81" s="279"/>
      <c r="BV81" s="279"/>
      <c r="BW81" s="279"/>
      <c r="BX81" s="279"/>
      <c r="BY81" s="279"/>
      <c r="BZ81" s="279"/>
      <c r="CA81" s="279"/>
      <c r="CB81" s="279"/>
      <c r="CC81" s="279"/>
      <c r="CD81" s="279"/>
      <c r="CE81" s="279"/>
      <c r="CF81" s="279"/>
      <c r="CG81" s="279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CU81" s="279"/>
      <c r="CV81" s="279"/>
      <c r="CW81" s="279"/>
      <c r="CX81" s="279"/>
      <c r="CY81" s="279"/>
      <c r="CZ81" s="279"/>
      <c r="DA81" s="279"/>
      <c r="DB81" s="279"/>
      <c r="DC81" s="279">
        <f>IF(OR(DC37=0,DC80=0),0,(DC80-DC37)/DC37)</f>
        <v>0</v>
      </c>
    </row>
    <row r="82" spans="2:107" ht="15" hidden="1" customHeight="1" x14ac:dyDescent="0.25">
      <c r="B82" s="259">
        <v>48</v>
      </c>
      <c r="C82" s="264" t="s">
        <v>4228</v>
      </c>
      <c r="D82" s="264"/>
      <c r="E82" s="265" t="s">
        <v>3857</v>
      </c>
      <c r="F82" s="276" t="s">
        <v>4241</v>
      </c>
      <c r="G82" s="271">
        <f>SUM(H82:DC82)</f>
        <v>0</v>
      </c>
      <c r="H82" s="277">
        <f>H74*H79</f>
        <v>0</v>
      </c>
      <c r="I82" s="277">
        <f t="shared" ref="I82:DC82" si="62">I74*I79</f>
        <v>0</v>
      </c>
      <c r="J82" s="277">
        <f t="shared" si="62"/>
        <v>0</v>
      </c>
      <c r="K82" s="277">
        <f t="shared" si="62"/>
        <v>0</v>
      </c>
      <c r="L82" s="277">
        <f t="shared" si="62"/>
        <v>0</v>
      </c>
      <c r="M82" s="277">
        <f t="shared" si="62"/>
        <v>0</v>
      </c>
      <c r="N82" s="277">
        <f t="shared" si="62"/>
        <v>0</v>
      </c>
      <c r="O82" s="277">
        <f t="shared" si="62"/>
        <v>0</v>
      </c>
      <c r="P82" s="277">
        <f t="shared" si="62"/>
        <v>0</v>
      </c>
      <c r="Q82" s="277">
        <f t="shared" si="62"/>
        <v>0</v>
      </c>
      <c r="R82" s="277">
        <f t="shared" si="62"/>
        <v>0</v>
      </c>
      <c r="S82" s="277">
        <f t="shared" si="62"/>
        <v>0</v>
      </c>
      <c r="T82" s="277">
        <f t="shared" si="62"/>
        <v>0</v>
      </c>
      <c r="U82" s="277">
        <f t="shared" si="62"/>
        <v>0</v>
      </c>
      <c r="V82" s="277">
        <f t="shared" si="62"/>
        <v>0</v>
      </c>
      <c r="W82" s="277">
        <f t="shared" si="62"/>
        <v>0</v>
      </c>
      <c r="X82" s="277">
        <f t="shared" si="62"/>
        <v>0</v>
      </c>
      <c r="Y82" s="277">
        <f t="shared" si="62"/>
        <v>0</v>
      </c>
      <c r="Z82" s="277">
        <f t="shared" si="62"/>
        <v>0</v>
      </c>
      <c r="AA82" s="277">
        <f t="shared" si="62"/>
        <v>0</v>
      </c>
      <c r="AB82" s="277">
        <f t="shared" si="62"/>
        <v>0</v>
      </c>
      <c r="AC82" s="277">
        <f t="shared" si="62"/>
        <v>0</v>
      </c>
      <c r="AD82" s="277">
        <f t="shared" si="62"/>
        <v>0</v>
      </c>
      <c r="AE82" s="277">
        <f t="shared" si="62"/>
        <v>0</v>
      </c>
      <c r="AF82" s="277">
        <f t="shared" si="62"/>
        <v>0</v>
      </c>
      <c r="AG82" s="277">
        <f t="shared" si="62"/>
        <v>0</v>
      </c>
      <c r="AH82" s="277">
        <f t="shared" si="62"/>
        <v>0</v>
      </c>
      <c r="AI82" s="277">
        <f t="shared" si="62"/>
        <v>0</v>
      </c>
      <c r="AJ82" s="277">
        <f t="shared" si="62"/>
        <v>0</v>
      </c>
      <c r="AK82" s="277">
        <f t="shared" si="62"/>
        <v>0</v>
      </c>
      <c r="AL82" s="277">
        <f t="shared" si="62"/>
        <v>0</v>
      </c>
      <c r="AM82" s="277">
        <f t="shared" si="62"/>
        <v>0</v>
      </c>
      <c r="AN82" s="277">
        <f t="shared" si="62"/>
        <v>0</v>
      </c>
      <c r="AO82" s="277">
        <f t="shared" si="62"/>
        <v>0</v>
      </c>
      <c r="AP82" s="277">
        <f t="shared" si="62"/>
        <v>0</v>
      </c>
      <c r="AQ82" s="277">
        <f t="shared" si="62"/>
        <v>0</v>
      </c>
      <c r="AR82" s="277">
        <f t="shared" si="62"/>
        <v>0</v>
      </c>
      <c r="AS82" s="277">
        <f t="shared" si="62"/>
        <v>0</v>
      </c>
      <c r="AT82" s="277">
        <f t="shared" si="62"/>
        <v>0</v>
      </c>
      <c r="AU82" s="277">
        <f t="shared" si="62"/>
        <v>0</v>
      </c>
      <c r="AV82" s="277">
        <f t="shared" si="62"/>
        <v>0</v>
      </c>
      <c r="AW82" s="277">
        <f t="shared" si="62"/>
        <v>0</v>
      </c>
      <c r="AX82" s="277">
        <f t="shared" si="62"/>
        <v>0</v>
      </c>
      <c r="AY82" s="277">
        <f t="shared" si="62"/>
        <v>0</v>
      </c>
      <c r="AZ82" s="277">
        <f t="shared" si="62"/>
        <v>0</v>
      </c>
      <c r="BA82" s="277">
        <f t="shared" si="62"/>
        <v>0</v>
      </c>
      <c r="BB82" s="277">
        <f t="shared" si="62"/>
        <v>0</v>
      </c>
      <c r="BC82" s="277">
        <f t="shared" si="62"/>
        <v>0</v>
      </c>
      <c r="BD82" s="277">
        <f t="shared" si="62"/>
        <v>0</v>
      </c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7"/>
      <c r="DB82" s="277"/>
      <c r="DC82" s="277">
        <f t="shared" si="62"/>
        <v>0</v>
      </c>
    </row>
    <row r="83" spans="2:107" ht="15" hidden="1" customHeight="1" x14ac:dyDescent="0.25">
      <c r="B83" s="259">
        <v>49</v>
      </c>
      <c r="C83" s="264" t="s">
        <v>4262</v>
      </c>
      <c r="D83" s="264"/>
      <c r="E83" s="265" t="s">
        <v>3912</v>
      </c>
      <c r="F83" s="276" t="s">
        <v>4268</v>
      </c>
      <c r="G83" s="278">
        <f t="shared" ref="G83:AL83" si="63">IF(OR(G38=0,G82=0),0,(G82-G38)/G38)</f>
        <v>0</v>
      </c>
      <c r="H83" s="279">
        <f t="shared" si="63"/>
        <v>0</v>
      </c>
      <c r="I83" s="279">
        <f t="shared" si="63"/>
        <v>0</v>
      </c>
      <c r="J83" s="279">
        <f t="shared" si="63"/>
        <v>0</v>
      </c>
      <c r="K83" s="279">
        <f t="shared" si="63"/>
        <v>0</v>
      </c>
      <c r="L83" s="279">
        <f t="shared" si="63"/>
        <v>0</v>
      </c>
      <c r="M83" s="279">
        <f t="shared" si="63"/>
        <v>0</v>
      </c>
      <c r="N83" s="279">
        <f t="shared" si="63"/>
        <v>0</v>
      </c>
      <c r="O83" s="279">
        <f t="shared" si="63"/>
        <v>0</v>
      </c>
      <c r="P83" s="279">
        <f t="shared" si="63"/>
        <v>0</v>
      </c>
      <c r="Q83" s="279">
        <f t="shared" si="63"/>
        <v>0</v>
      </c>
      <c r="R83" s="279">
        <f t="shared" si="63"/>
        <v>0</v>
      </c>
      <c r="S83" s="279">
        <f t="shared" si="63"/>
        <v>0</v>
      </c>
      <c r="T83" s="279">
        <f t="shared" si="63"/>
        <v>0</v>
      </c>
      <c r="U83" s="279">
        <f t="shared" si="63"/>
        <v>0</v>
      </c>
      <c r="V83" s="279">
        <f t="shared" si="63"/>
        <v>0</v>
      </c>
      <c r="W83" s="279">
        <f t="shared" si="63"/>
        <v>0</v>
      </c>
      <c r="X83" s="279">
        <f t="shared" si="63"/>
        <v>0</v>
      </c>
      <c r="Y83" s="279">
        <f t="shared" si="63"/>
        <v>0</v>
      </c>
      <c r="Z83" s="279">
        <f t="shared" si="63"/>
        <v>0</v>
      </c>
      <c r="AA83" s="279">
        <f t="shared" si="63"/>
        <v>0</v>
      </c>
      <c r="AB83" s="279">
        <f t="shared" si="63"/>
        <v>0</v>
      </c>
      <c r="AC83" s="279">
        <f t="shared" si="63"/>
        <v>0</v>
      </c>
      <c r="AD83" s="279">
        <f t="shared" si="63"/>
        <v>0</v>
      </c>
      <c r="AE83" s="279">
        <f t="shared" si="63"/>
        <v>0</v>
      </c>
      <c r="AF83" s="279">
        <f t="shared" si="63"/>
        <v>0</v>
      </c>
      <c r="AG83" s="279">
        <f t="shared" si="63"/>
        <v>0</v>
      </c>
      <c r="AH83" s="279">
        <f t="shared" si="63"/>
        <v>0</v>
      </c>
      <c r="AI83" s="279">
        <f t="shared" si="63"/>
        <v>0</v>
      </c>
      <c r="AJ83" s="279">
        <f t="shared" si="63"/>
        <v>0</v>
      </c>
      <c r="AK83" s="279">
        <f t="shared" si="63"/>
        <v>0</v>
      </c>
      <c r="AL83" s="279">
        <f t="shared" si="63"/>
        <v>0</v>
      </c>
      <c r="AM83" s="279">
        <f t="shared" ref="AM83:BD83" si="64">IF(OR(AM38=0,AM82=0),0,(AM82-AM38)/AM38)</f>
        <v>0</v>
      </c>
      <c r="AN83" s="279">
        <f t="shared" si="64"/>
        <v>0</v>
      </c>
      <c r="AO83" s="279">
        <f t="shared" si="64"/>
        <v>0</v>
      </c>
      <c r="AP83" s="279">
        <f t="shared" si="64"/>
        <v>0</v>
      </c>
      <c r="AQ83" s="279">
        <f t="shared" si="64"/>
        <v>0</v>
      </c>
      <c r="AR83" s="279">
        <f t="shared" si="64"/>
        <v>0</v>
      </c>
      <c r="AS83" s="279">
        <f t="shared" si="64"/>
        <v>0</v>
      </c>
      <c r="AT83" s="279">
        <f t="shared" si="64"/>
        <v>0</v>
      </c>
      <c r="AU83" s="279">
        <f t="shared" si="64"/>
        <v>0</v>
      </c>
      <c r="AV83" s="279">
        <f t="shared" si="64"/>
        <v>0</v>
      </c>
      <c r="AW83" s="279">
        <f t="shared" si="64"/>
        <v>0</v>
      </c>
      <c r="AX83" s="279">
        <f t="shared" si="64"/>
        <v>0</v>
      </c>
      <c r="AY83" s="279">
        <f t="shared" si="64"/>
        <v>0</v>
      </c>
      <c r="AZ83" s="279">
        <f t="shared" si="64"/>
        <v>0</v>
      </c>
      <c r="BA83" s="279">
        <f t="shared" si="64"/>
        <v>0</v>
      </c>
      <c r="BB83" s="279">
        <f t="shared" si="64"/>
        <v>0</v>
      </c>
      <c r="BC83" s="279">
        <f t="shared" si="64"/>
        <v>0</v>
      </c>
      <c r="BD83" s="279">
        <f t="shared" si="64"/>
        <v>0</v>
      </c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79"/>
      <c r="BU83" s="279"/>
      <c r="BV83" s="279"/>
      <c r="BW83" s="279"/>
      <c r="BX83" s="279"/>
      <c r="BY83" s="279"/>
      <c r="BZ83" s="279"/>
      <c r="CA83" s="279"/>
      <c r="CB83" s="279"/>
      <c r="CC83" s="279"/>
      <c r="CD83" s="279"/>
      <c r="CE83" s="279"/>
      <c r="CF83" s="279"/>
      <c r="CG83" s="279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CU83" s="279"/>
      <c r="CV83" s="279"/>
      <c r="CW83" s="279"/>
      <c r="CX83" s="279"/>
      <c r="CY83" s="279"/>
      <c r="CZ83" s="279"/>
      <c r="DA83" s="279"/>
      <c r="DB83" s="279"/>
      <c r="DC83" s="279">
        <f>IF(OR(DC38=0,DC82=0),0,(DC82-DC38)/DC38)</f>
        <v>0</v>
      </c>
    </row>
    <row r="84" spans="2:107" ht="15" hidden="1" customHeight="1" x14ac:dyDescent="0.25"/>
    <row r="85" spans="2:107" ht="15" hidden="1" customHeight="1" x14ac:dyDescent="0.25">
      <c r="B85" s="858" t="s">
        <v>4269</v>
      </c>
      <c r="C85" s="859"/>
      <c r="D85" s="859"/>
      <c r="E85" s="859"/>
      <c r="F85" s="859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  <c r="CU85" s="258"/>
      <c r="CV85" s="258"/>
      <c r="CW85" s="258"/>
      <c r="CX85" s="258"/>
      <c r="CY85" s="258"/>
      <c r="CZ85" s="258"/>
      <c r="DA85" s="258"/>
      <c r="DB85" s="258"/>
      <c r="DC85" s="258"/>
    </row>
    <row r="86" spans="2:107" s="103" customFormat="1" ht="15" hidden="1" customHeight="1" x14ac:dyDescent="0.25">
      <c r="B86" s="259"/>
      <c r="C86" s="260"/>
      <c r="D86" s="260"/>
      <c r="E86" s="260"/>
      <c r="F86" s="261"/>
      <c r="G86" s="262" t="s">
        <v>76</v>
      </c>
      <c r="H86" s="263" t="s">
        <v>4095</v>
      </c>
      <c r="I86" s="263" t="s">
        <v>4096</v>
      </c>
      <c r="J86" s="263" t="s">
        <v>4097</v>
      </c>
      <c r="K86" s="263" t="s">
        <v>4098</v>
      </c>
      <c r="L86" s="263" t="s">
        <v>4099</v>
      </c>
      <c r="M86" s="263" t="s">
        <v>4100</v>
      </c>
      <c r="N86" s="263" t="s">
        <v>4101</v>
      </c>
      <c r="O86" s="263" t="s">
        <v>4102</v>
      </c>
      <c r="P86" s="263" t="s">
        <v>4103</v>
      </c>
      <c r="Q86" s="263" t="s">
        <v>4104</v>
      </c>
      <c r="R86" s="263" t="s">
        <v>4105</v>
      </c>
      <c r="S86" s="263" t="s">
        <v>4106</v>
      </c>
      <c r="T86" s="263" t="s">
        <v>4107</v>
      </c>
      <c r="U86" s="263" t="s">
        <v>4108</v>
      </c>
      <c r="V86" s="263" t="s">
        <v>4109</v>
      </c>
      <c r="W86" s="263" t="s">
        <v>4110</v>
      </c>
      <c r="X86" s="263" t="s">
        <v>4111</v>
      </c>
      <c r="Y86" s="263" t="s">
        <v>4112</v>
      </c>
      <c r="Z86" s="263" t="s">
        <v>4113</v>
      </c>
      <c r="AA86" s="263" t="s">
        <v>4114</v>
      </c>
      <c r="AB86" s="263" t="s">
        <v>4115</v>
      </c>
      <c r="AC86" s="263" t="s">
        <v>4116</v>
      </c>
      <c r="AD86" s="263" t="s">
        <v>4117</v>
      </c>
      <c r="AE86" s="263" t="s">
        <v>4118</v>
      </c>
      <c r="AF86" s="263" t="s">
        <v>4119</v>
      </c>
      <c r="AG86" s="263" t="s">
        <v>4120</v>
      </c>
      <c r="AH86" s="263" t="s">
        <v>4121</v>
      </c>
      <c r="AI86" s="263" t="s">
        <v>4122</v>
      </c>
      <c r="AJ86" s="263" t="s">
        <v>4123</v>
      </c>
      <c r="AK86" s="263" t="s">
        <v>4124</v>
      </c>
      <c r="AL86" s="263" t="s">
        <v>4125</v>
      </c>
      <c r="AM86" s="263" t="s">
        <v>4126</v>
      </c>
      <c r="AN86" s="263" t="s">
        <v>4127</v>
      </c>
      <c r="AO86" s="263" t="s">
        <v>4128</v>
      </c>
      <c r="AP86" s="263" t="s">
        <v>4129</v>
      </c>
      <c r="AQ86" s="263" t="s">
        <v>4130</v>
      </c>
      <c r="AR86" s="263" t="s">
        <v>4131</v>
      </c>
      <c r="AS86" s="263" t="s">
        <v>4132</v>
      </c>
      <c r="AT86" s="263" t="s">
        <v>4133</v>
      </c>
      <c r="AU86" s="263" t="s">
        <v>4134</v>
      </c>
      <c r="AV86" s="263" t="s">
        <v>4135</v>
      </c>
      <c r="AW86" s="263" t="s">
        <v>4136</v>
      </c>
      <c r="AX86" s="263" t="s">
        <v>4137</v>
      </c>
      <c r="AY86" s="263" t="s">
        <v>4138</v>
      </c>
      <c r="AZ86" s="263" t="s">
        <v>4139</v>
      </c>
      <c r="BA86" s="263" t="s">
        <v>4140</v>
      </c>
      <c r="BB86" s="263" t="s">
        <v>4141</v>
      </c>
      <c r="BC86" s="263" t="s">
        <v>4142</v>
      </c>
      <c r="BD86" s="263" t="s">
        <v>4143</v>
      </c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 t="s">
        <v>4144</v>
      </c>
    </row>
    <row r="87" spans="2:107" ht="15" hidden="1" customHeight="1" x14ac:dyDescent="0.25">
      <c r="B87" s="259">
        <v>51</v>
      </c>
      <c r="C87" s="280" t="s">
        <v>3901</v>
      </c>
      <c r="D87" s="280"/>
      <c r="E87" s="551" t="s">
        <v>3857</v>
      </c>
      <c r="F87" s="276" t="s">
        <v>4243</v>
      </c>
      <c r="G87" s="271">
        <f>SUM(H87:DC87)</f>
        <v>0</v>
      </c>
      <c r="H87" s="272">
        <f>H66-H82</f>
        <v>0</v>
      </c>
      <c r="I87" s="272">
        <f t="shared" ref="I87:DC87" si="65">I66-I82</f>
        <v>0</v>
      </c>
      <c r="J87" s="272">
        <f t="shared" si="65"/>
        <v>0</v>
      </c>
      <c r="K87" s="272">
        <f t="shared" si="65"/>
        <v>0</v>
      </c>
      <c r="L87" s="272">
        <f t="shared" si="65"/>
        <v>0</v>
      </c>
      <c r="M87" s="272">
        <f t="shared" si="65"/>
        <v>0</v>
      </c>
      <c r="N87" s="272">
        <f t="shared" si="65"/>
        <v>0</v>
      </c>
      <c r="O87" s="272">
        <f t="shared" si="65"/>
        <v>0</v>
      </c>
      <c r="P87" s="272">
        <f t="shared" si="65"/>
        <v>0</v>
      </c>
      <c r="Q87" s="272">
        <f t="shared" si="65"/>
        <v>0</v>
      </c>
      <c r="R87" s="272">
        <f t="shared" si="65"/>
        <v>0</v>
      </c>
      <c r="S87" s="272">
        <f t="shared" si="65"/>
        <v>0</v>
      </c>
      <c r="T87" s="272">
        <f t="shared" si="65"/>
        <v>0</v>
      </c>
      <c r="U87" s="272">
        <f t="shared" si="65"/>
        <v>0</v>
      </c>
      <c r="V87" s="272">
        <f t="shared" si="65"/>
        <v>0</v>
      </c>
      <c r="W87" s="272">
        <f t="shared" si="65"/>
        <v>0</v>
      </c>
      <c r="X87" s="272">
        <f t="shared" si="65"/>
        <v>0</v>
      </c>
      <c r="Y87" s="272">
        <f t="shared" si="65"/>
        <v>0</v>
      </c>
      <c r="Z87" s="272">
        <f t="shared" si="65"/>
        <v>0</v>
      </c>
      <c r="AA87" s="272">
        <f t="shared" si="65"/>
        <v>0</v>
      </c>
      <c r="AB87" s="272">
        <f t="shared" si="65"/>
        <v>0</v>
      </c>
      <c r="AC87" s="272">
        <f t="shared" si="65"/>
        <v>0</v>
      </c>
      <c r="AD87" s="272">
        <f t="shared" si="65"/>
        <v>0</v>
      </c>
      <c r="AE87" s="272">
        <f t="shared" si="65"/>
        <v>0</v>
      </c>
      <c r="AF87" s="272">
        <f t="shared" si="65"/>
        <v>0</v>
      </c>
      <c r="AG87" s="272">
        <f t="shared" si="65"/>
        <v>0</v>
      </c>
      <c r="AH87" s="272">
        <f t="shared" si="65"/>
        <v>0</v>
      </c>
      <c r="AI87" s="272">
        <f t="shared" si="65"/>
        <v>0</v>
      </c>
      <c r="AJ87" s="272">
        <f t="shared" si="65"/>
        <v>0</v>
      </c>
      <c r="AK87" s="272">
        <f t="shared" si="65"/>
        <v>0</v>
      </c>
      <c r="AL87" s="272">
        <f t="shared" si="65"/>
        <v>0</v>
      </c>
      <c r="AM87" s="272">
        <f t="shared" si="65"/>
        <v>0</v>
      </c>
      <c r="AN87" s="272">
        <f t="shared" si="65"/>
        <v>0</v>
      </c>
      <c r="AO87" s="272">
        <f t="shared" si="65"/>
        <v>0</v>
      </c>
      <c r="AP87" s="272">
        <f t="shared" si="65"/>
        <v>0</v>
      </c>
      <c r="AQ87" s="272">
        <f t="shared" si="65"/>
        <v>0</v>
      </c>
      <c r="AR87" s="272">
        <f t="shared" si="65"/>
        <v>0</v>
      </c>
      <c r="AS87" s="272">
        <f t="shared" si="65"/>
        <v>0</v>
      </c>
      <c r="AT87" s="272">
        <f t="shared" si="65"/>
        <v>0</v>
      </c>
      <c r="AU87" s="272">
        <f t="shared" si="65"/>
        <v>0</v>
      </c>
      <c r="AV87" s="272">
        <f t="shared" si="65"/>
        <v>0</v>
      </c>
      <c r="AW87" s="272">
        <f t="shared" si="65"/>
        <v>0</v>
      </c>
      <c r="AX87" s="272">
        <f t="shared" si="65"/>
        <v>0</v>
      </c>
      <c r="AY87" s="272">
        <f t="shared" si="65"/>
        <v>0</v>
      </c>
      <c r="AZ87" s="272">
        <f t="shared" si="65"/>
        <v>0</v>
      </c>
      <c r="BA87" s="272">
        <f t="shared" si="65"/>
        <v>0</v>
      </c>
      <c r="BB87" s="272">
        <f t="shared" si="65"/>
        <v>0</v>
      </c>
      <c r="BC87" s="272">
        <f t="shared" si="65"/>
        <v>0</v>
      </c>
      <c r="BD87" s="272">
        <f t="shared" si="65"/>
        <v>0</v>
      </c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>
        <f t="shared" si="65"/>
        <v>0</v>
      </c>
    </row>
    <row r="88" spans="2:107" ht="15" hidden="1" customHeight="1" x14ac:dyDescent="0.25">
      <c r="B88" s="259">
        <v>52</v>
      </c>
      <c r="C88" s="281" t="s">
        <v>4244</v>
      </c>
      <c r="D88" s="282">
        <f>D43</f>
        <v>0</v>
      </c>
      <c r="E88" s="552" t="s">
        <v>3912</v>
      </c>
      <c r="F88" s="276" t="s">
        <v>4245</v>
      </c>
      <c r="G88" s="278">
        <f>IF(G66=0,0,G87/G66)</f>
        <v>0</v>
      </c>
      <c r="H88" s="279">
        <f>IF(H66=0,0,H87/H66)</f>
        <v>0</v>
      </c>
      <c r="I88" s="279">
        <f t="shared" ref="I88:DC88" si="66">IF(I66=0,0,I87/I66)</f>
        <v>0</v>
      </c>
      <c r="J88" s="279">
        <f t="shared" si="66"/>
        <v>0</v>
      </c>
      <c r="K88" s="279">
        <f t="shared" si="66"/>
        <v>0</v>
      </c>
      <c r="L88" s="279">
        <f t="shared" si="66"/>
        <v>0</v>
      </c>
      <c r="M88" s="279">
        <f t="shared" si="66"/>
        <v>0</v>
      </c>
      <c r="N88" s="279">
        <f t="shared" si="66"/>
        <v>0</v>
      </c>
      <c r="O88" s="279">
        <f t="shared" si="66"/>
        <v>0</v>
      </c>
      <c r="P88" s="279">
        <f t="shared" si="66"/>
        <v>0</v>
      </c>
      <c r="Q88" s="279">
        <f t="shared" si="66"/>
        <v>0</v>
      </c>
      <c r="R88" s="279">
        <f t="shared" si="66"/>
        <v>0</v>
      </c>
      <c r="S88" s="279">
        <f t="shared" si="66"/>
        <v>0</v>
      </c>
      <c r="T88" s="279">
        <f t="shared" si="66"/>
        <v>0</v>
      </c>
      <c r="U88" s="279">
        <f t="shared" si="66"/>
        <v>0</v>
      </c>
      <c r="V88" s="279">
        <f t="shared" si="66"/>
        <v>0</v>
      </c>
      <c r="W88" s="279">
        <f t="shared" si="66"/>
        <v>0</v>
      </c>
      <c r="X88" s="279">
        <f t="shared" si="66"/>
        <v>0</v>
      </c>
      <c r="Y88" s="279">
        <f t="shared" si="66"/>
        <v>0</v>
      </c>
      <c r="Z88" s="279">
        <f t="shared" si="66"/>
        <v>0</v>
      </c>
      <c r="AA88" s="279">
        <f t="shared" si="66"/>
        <v>0</v>
      </c>
      <c r="AB88" s="279">
        <f t="shared" si="66"/>
        <v>0</v>
      </c>
      <c r="AC88" s="279">
        <f t="shared" si="66"/>
        <v>0</v>
      </c>
      <c r="AD88" s="279">
        <f t="shared" si="66"/>
        <v>0</v>
      </c>
      <c r="AE88" s="279">
        <f t="shared" si="66"/>
        <v>0</v>
      </c>
      <c r="AF88" s="279">
        <f t="shared" si="66"/>
        <v>0</v>
      </c>
      <c r="AG88" s="279">
        <f t="shared" si="66"/>
        <v>0</v>
      </c>
      <c r="AH88" s="279">
        <f t="shared" si="66"/>
        <v>0</v>
      </c>
      <c r="AI88" s="279">
        <f t="shared" si="66"/>
        <v>0</v>
      </c>
      <c r="AJ88" s="279">
        <f t="shared" si="66"/>
        <v>0</v>
      </c>
      <c r="AK88" s="279">
        <f t="shared" si="66"/>
        <v>0</v>
      </c>
      <c r="AL88" s="279">
        <f t="shared" si="66"/>
        <v>0</v>
      </c>
      <c r="AM88" s="279">
        <f t="shared" si="66"/>
        <v>0</v>
      </c>
      <c r="AN88" s="279">
        <f t="shared" si="66"/>
        <v>0</v>
      </c>
      <c r="AO88" s="279">
        <f t="shared" si="66"/>
        <v>0</v>
      </c>
      <c r="AP88" s="279">
        <f t="shared" si="66"/>
        <v>0</v>
      </c>
      <c r="AQ88" s="279">
        <f t="shared" si="66"/>
        <v>0</v>
      </c>
      <c r="AR88" s="279">
        <f t="shared" si="66"/>
        <v>0</v>
      </c>
      <c r="AS88" s="279">
        <f t="shared" si="66"/>
        <v>0</v>
      </c>
      <c r="AT88" s="279">
        <f t="shared" si="66"/>
        <v>0</v>
      </c>
      <c r="AU88" s="279">
        <f t="shared" si="66"/>
        <v>0</v>
      </c>
      <c r="AV88" s="279">
        <f t="shared" si="66"/>
        <v>0</v>
      </c>
      <c r="AW88" s="279">
        <f t="shared" si="66"/>
        <v>0</v>
      </c>
      <c r="AX88" s="279">
        <f t="shared" si="66"/>
        <v>0</v>
      </c>
      <c r="AY88" s="279">
        <f t="shared" si="66"/>
        <v>0</v>
      </c>
      <c r="AZ88" s="279">
        <f t="shared" si="66"/>
        <v>0</v>
      </c>
      <c r="BA88" s="279">
        <f t="shared" si="66"/>
        <v>0</v>
      </c>
      <c r="BB88" s="279">
        <f t="shared" si="66"/>
        <v>0</v>
      </c>
      <c r="BC88" s="279">
        <f t="shared" si="66"/>
        <v>0</v>
      </c>
      <c r="BD88" s="279">
        <f t="shared" si="66"/>
        <v>0</v>
      </c>
      <c r="BE88" s="279"/>
      <c r="BF88" s="279"/>
      <c r="BG88" s="279"/>
      <c r="BH88" s="279"/>
      <c r="BI88" s="279"/>
      <c r="BJ88" s="279"/>
      <c r="BK88" s="279"/>
      <c r="BL88" s="279"/>
      <c r="BM88" s="279"/>
      <c r="BN88" s="279"/>
      <c r="BO88" s="279"/>
      <c r="BP88" s="279"/>
      <c r="BQ88" s="279"/>
      <c r="BR88" s="279"/>
      <c r="BS88" s="279"/>
      <c r="BT88" s="279"/>
      <c r="BU88" s="279"/>
      <c r="BV88" s="279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79"/>
      <c r="CI88" s="279"/>
      <c r="CJ88" s="279"/>
      <c r="CK88" s="279"/>
      <c r="CL88" s="279"/>
      <c r="CM88" s="279"/>
      <c r="CN88" s="279"/>
      <c r="CO88" s="279"/>
      <c r="CP88" s="279"/>
      <c r="CQ88" s="279"/>
      <c r="CR88" s="279"/>
      <c r="CS88" s="279"/>
      <c r="CT88" s="279"/>
      <c r="CU88" s="279"/>
      <c r="CV88" s="279"/>
      <c r="CW88" s="279"/>
      <c r="CX88" s="279"/>
      <c r="CY88" s="279"/>
      <c r="CZ88" s="279"/>
      <c r="DA88" s="279"/>
      <c r="DB88" s="279"/>
      <c r="DC88" s="279">
        <f t="shared" si="66"/>
        <v>0</v>
      </c>
    </row>
    <row r="89" spans="2:107" ht="15" hidden="1" customHeight="1" x14ac:dyDescent="0.25">
      <c r="B89" s="259">
        <v>53</v>
      </c>
      <c r="C89" s="280" t="s">
        <v>3900</v>
      </c>
      <c r="D89" s="280"/>
      <c r="E89" s="551" t="s">
        <v>3854</v>
      </c>
      <c r="F89" s="276" t="s">
        <v>4246</v>
      </c>
      <c r="G89" s="271">
        <f>SUM(H89:DC89)</f>
        <v>0</v>
      </c>
      <c r="H89" s="272">
        <f>H64-H80</f>
        <v>0</v>
      </c>
      <c r="I89" s="272">
        <f t="shared" ref="I89:DC89" si="67">I64-I80</f>
        <v>0</v>
      </c>
      <c r="J89" s="272">
        <f t="shared" si="67"/>
        <v>0</v>
      </c>
      <c r="K89" s="272">
        <f t="shared" si="67"/>
        <v>0</v>
      </c>
      <c r="L89" s="272">
        <f t="shared" si="67"/>
        <v>0</v>
      </c>
      <c r="M89" s="272">
        <f t="shared" si="67"/>
        <v>0</v>
      </c>
      <c r="N89" s="272">
        <f t="shared" si="67"/>
        <v>0</v>
      </c>
      <c r="O89" s="272">
        <f t="shared" si="67"/>
        <v>0</v>
      </c>
      <c r="P89" s="272">
        <f t="shared" si="67"/>
        <v>0</v>
      </c>
      <c r="Q89" s="272">
        <f t="shared" si="67"/>
        <v>0</v>
      </c>
      <c r="R89" s="272">
        <f t="shared" si="67"/>
        <v>0</v>
      </c>
      <c r="S89" s="272">
        <f t="shared" si="67"/>
        <v>0</v>
      </c>
      <c r="T89" s="272">
        <f t="shared" si="67"/>
        <v>0</v>
      </c>
      <c r="U89" s="272">
        <f t="shared" si="67"/>
        <v>0</v>
      </c>
      <c r="V89" s="272">
        <f t="shared" si="67"/>
        <v>0</v>
      </c>
      <c r="W89" s="272">
        <f t="shared" si="67"/>
        <v>0</v>
      </c>
      <c r="X89" s="272">
        <f t="shared" si="67"/>
        <v>0</v>
      </c>
      <c r="Y89" s="272">
        <f t="shared" si="67"/>
        <v>0</v>
      </c>
      <c r="Z89" s="272">
        <f t="shared" si="67"/>
        <v>0</v>
      </c>
      <c r="AA89" s="272">
        <f t="shared" si="67"/>
        <v>0</v>
      </c>
      <c r="AB89" s="272">
        <f t="shared" si="67"/>
        <v>0</v>
      </c>
      <c r="AC89" s="272">
        <f t="shared" si="67"/>
        <v>0</v>
      </c>
      <c r="AD89" s="272">
        <f t="shared" si="67"/>
        <v>0</v>
      </c>
      <c r="AE89" s="272">
        <f t="shared" si="67"/>
        <v>0</v>
      </c>
      <c r="AF89" s="272">
        <f t="shared" si="67"/>
        <v>0</v>
      </c>
      <c r="AG89" s="272">
        <f t="shared" si="67"/>
        <v>0</v>
      </c>
      <c r="AH89" s="272">
        <f t="shared" si="67"/>
        <v>0</v>
      </c>
      <c r="AI89" s="272">
        <f t="shared" si="67"/>
        <v>0</v>
      </c>
      <c r="AJ89" s="272">
        <f t="shared" si="67"/>
        <v>0</v>
      </c>
      <c r="AK89" s="272">
        <f t="shared" si="67"/>
        <v>0</v>
      </c>
      <c r="AL89" s="272">
        <f t="shared" si="67"/>
        <v>0</v>
      </c>
      <c r="AM89" s="272">
        <f t="shared" si="67"/>
        <v>0</v>
      </c>
      <c r="AN89" s="272">
        <f t="shared" si="67"/>
        <v>0</v>
      </c>
      <c r="AO89" s="272">
        <f t="shared" si="67"/>
        <v>0</v>
      </c>
      <c r="AP89" s="272">
        <f t="shared" si="67"/>
        <v>0</v>
      </c>
      <c r="AQ89" s="272">
        <f t="shared" si="67"/>
        <v>0</v>
      </c>
      <c r="AR89" s="272">
        <f t="shared" si="67"/>
        <v>0</v>
      </c>
      <c r="AS89" s="272">
        <f t="shared" si="67"/>
        <v>0</v>
      </c>
      <c r="AT89" s="272">
        <f t="shared" si="67"/>
        <v>0</v>
      </c>
      <c r="AU89" s="272">
        <f t="shared" si="67"/>
        <v>0</v>
      </c>
      <c r="AV89" s="272">
        <f t="shared" si="67"/>
        <v>0</v>
      </c>
      <c r="AW89" s="272">
        <f t="shared" si="67"/>
        <v>0</v>
      </c>
      <c r="AX89" s="272">
        <f t="shared" si="67"/>
        <v>0</v>
      </c>
      <c r="AY89" s="272">
        <f t="shared" si="67"/>
        <v>0</v>
      </c>
      <c r="AZ89" s="272">
        <f t="shared" si="67"/>
        <v>0</v>
      </c>
      <c r="BA89" s="272">
        <f t="shared" si="67"/>
        <v>0</v>
      </c>
      <c r="BB89" s="272">
        <f t="shared" si="67"/>
        <v>0</v>
      </c>
      <c r="BC89" s="272">
        <f t="shared" si="67"/>
        <v>0</v>
      </c>
      <c r="BD89" s="272">
        <f t="shared" si="67"/>
        <v>0</v>
      </c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2"/>
      <c r="CD89" s="272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>
        <f t="shared" si="67"/>
        <v>0</v>
      </c>
    </row>
    <row r="90" spans="2:107" ht="15" hidden="1" customHeight="1" x14ac:dyDescent="0.25">
      <c r="B90" s="259">
        <v>54</v>
      </c>
      <c r="C90" s="281" t="s">
        <v>4247</v>
      </c>
      <c r="D90" s="282">
        <f>D45</f>
        <v>0</v>
      </c>
      <c r="E90" s="552" t="s">
        <v>3912</v>
      </c>
      <c r="F90" s="276" t="s">
        <v>4248</v>
      </c>
      <c r="G90" s="283">
        <f>IF(G64=0,0,G89/G64)</f>
        <v>0</v>
      </c>
      <c r="H90" s="279">
        <f>IF(H64=0,0,H89/H64)</f>
        <v>0</v>
      </c>
      <c r="I90" s="279">
        <f t="shared" ref="I90:DC90" si="68">IF(I64=0,0,I89/I64)</f>
        <v>0</v>
      </c>
      <c r="J90" s="279">
        <f t="shared" si="68"/>
        <v>0</v>
      </c>
      <c r="K90" s="279">
        <f t="shared" si="68"/>
        <v>0</v>
      </c>
      <c r="L90" s="279">
        <f t="shared" si="68"/>
        <v>0</v>
      </c>
      <c r="M90" s="279">
        <f t="shared" si="68"/>
        <v>0</v>
      </c>
      <c r="N90" s="279">
        <f t="shared" si="68"/>
        <v>0</v>
      </c>
      <c r="O90" s="279">
        <f t="shared" si="68"/>
        <v>0</v>
      </c>
      <c r="P90" s="279">
        <f t="shared" si="68"/>
        <v>0</v>
      </c>
      <c r="Q90" s="279">
        <f t="shared" si="68"/>
        <v>0</v>
      </c>
      <c r="R90" s="279">
        <f t="shared" si="68"/>
        <v>0</v>
      </c>
      <c r="S90" s="279">
        <f t="shared" si="68"/>
        <v>0</v>
      </c>
      <c r="T90" s="279">
        <f t="shared" si="68"/>
        <v>0</v>
      </c>
      <c r="U90" s="279">
        <f t="shared" si="68"/>
        <v>0</v>
      </c>
      <c r="V90" s="279">
        <f t="shared" si="68"/>
        <v>0</v>
      </c>
      <c r="W90" s="279">
        <f t="shared" si="68"/>
        <v>0</v>
      </c>
      <c r="X90" s="279">
        <f t="shared" si="68"/>
        <v>0</v>
      </c>
      <c r="Y90" s="279">
        <f t="shared" si="68"/>
        <v>0</v>
      </c>
      <c r="Z90" s="279">
        <f t="shared" si="68"/>
        <v>0</v>
      </c>
      <c r="AA90" s="279">
        <f t="shared" si="68"/>
        <v>0</v>
      </c>
      <c r="AB90" s="279">
        <f t="shared" si="68"/>
        <v>0</v>
      </c>
      <c r="AC90" s="279">
        <f t="shared" si="68"/>
        <v>0</v>
      </c>
      <c r="AD90" s="279">
        <f t="shared" si="68"/>
        <v>0</v>
      </c>
      <c r="AE90" s="279">
        <f t="shared" si="68"/>
        <v>0</v>
      </c>
      <c r="AF90" s="279">
        <f t="shared" si="68"/>
        <v>0</v>
      </c>
      <c r="AG90" s="279">
        <f t="shared" si="68"/>
        <v>0</v>
      </c>
      <c r="AH90" s="279">
        <f t="shared" si="68"/>
        <v>0</v>
      </c>
      <c r="AI90" s="279">
        <f t="shared" si="68"/>
        <v>0</v>
      </c>
      <c r="AJ90" s="279">
        <f t="shared" si="68"/>
        <v>0</v>
      </c>
      <c r="AK90" s="279">
        <f t="shared" si="68"/>
        <v>0</v>
      </c>
      <c r="AL90" s="279">
        <f t="shared" si="68"/>
        <v>0</v>
      </c>
      <c r="AM90" s="279">
        <f t="shared" si="68"/>
        <v>0</v>
      </c>
      <c r="AN90" s="279">
        <f t="shared" si="68"/>
        <v>0</v>
      </c>
      <c r="AO90" s="279">
        <f t="shared" si="68"/>
        <v>0</v>
      </c>
      <c r="AP90" s="279">
        <f t="shared" si="68"/>
        <v>0</v>
      </c>
      <c r="AQ90" s="279">
        <f t="shared" si="68"/>
        <v>0</v>
      </c>
      <c r="AR90" s="279">
        <f t="shared" si="68"/>
        <v>0</v>
      </c>
      <c r="AS90" s="279">
        <f t="shared" si="68"/>
        <v>0</v>
      </c>
      <c r="AT90" s="279">
        <f t="shared" si="68"/>
        <v>0</v>
      </c>
      <c r="AU90" s="279">
        <f t="shared" si="68"/>
        <v>0</v>
      </c>
      <c r="AV90" s="279">
        <f t="shared" si="68"/>
        <v>0</v>
      </c>
      <c r="AW90" s="279">
        <f t="shared" si="68"/>
        <v>0</v>
      </c>
      <c r="AX90" s="279">
        <f t="shared" si="68"/>
        <v>0</v>
      </c>
      <c r="AY90" s="279">
        <f t="shared" si="68"/>
        <v>0</v>
      </c>
      <c r="AZ90" s="279">
        <f t="shared" si="68"/>
        <v>0</v>
      </c>
      <c r="BA90" s="279">
        <f t="shared" si="68"/>
        <v>0</v>
      </c>
      <c r="BB90" s="279">
        <f t="shared" si="68"/>
        <v>0</v>
      </c>
      <c r="BC90" s="279">
        <f t="shared" si="68"/>
        <v>0</v>
      </c>
      <c r="BD90" s="279">
        <f t="shared" si="68"/>
        <v>0</v>
      </c>
      <c r="BE90" s="279"/>
      <c r="BF90" s="279"/>
      <c r="BG90" s="279"/>
      <c r="BH90" s="279"/>
      <c r="BI90" s="279"/>
      <c r="BJ90" s="279"/>
      <c r="BK90" s="279"/>
      <c r="BL90" s="279"/>
      <c r="BM90" s="279"/>
      <c r="BN90" s="279"/>
      <c r="BO90" s="279"/>
      <c r="BP90" s="279"/>
      <c r="BQ90" s="279"/>
      <c r="BR90" s="279"/>
      <c r="BS90" s="279"/>
      <c r="BT90" s="279"/>
      <c r="BU90" s="279"/>
      <c r="BV90" s="279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79"/>
      <c r="CI90" s="279"/>
      <c r="CJ90" s="279"/>
      <c r="CK90" s="279"/>
      <c r="CL90" s="279"/>
      <c r="CM90" s="279"/>
      <c r="CN90" s="279"/>
      <c r="CO90" s="279"/>
      <c r="CP90" s="279"/>
      <c r="CQ90" s="279"/>
      <c r="CR90" s="279"/>
      <c r="CS90" s="279"/>
      <c r="CT90" s="279"/>
      <c r="CU90" s="279"/>
      <c r="CV90" s="279"/>
      <c r="CW90" s="279"/>
      <c r="CX90" s="279"/>
      <c r="CY90" s="279"/>
      <c r="CZ90" s="279"/>
      <c r="DA90" s="279"/>
      <c r="DB90" s="279"/>
      <c r="DC90" s="279">
        <f t="shared" si="68"/>
        <v>0</v>
      </c>
    </row>
    <row r="91" spans="2:107" ht="15" hidden="1" customHeight="1" x14ac:dyDescent="0.25">
      <c r="B91" s="284"/>
      <c r="C91" s="285" t="s">
        <v>4270</v>
      </c>
      <c r="D91" s="285"/>
      <c r="E91" s="537" t="s">
        <v>3911</v>
      </c>
      <c r="F91" s="286" t="s">
        <v>4250</v>
      </c>
      <c r="G91" s="287">
        <f>SUM(H91:DC91)</f>
        <v>0</v>
      </c>
      <c r="H91" s="288">
        <f>H87*$D$88+H89*$D$90</f>
        <v>0</v>
      </c>
      <c r="I91" s="288">
        <f t="shared" ref="I91:DC91" si="69">I87*$D$88+I89*$D$90</f>
        <v>0</v>
      </c>
      <c r="J91" s="288">
        <f t="shared" si="69"/>
        <v>0</v>
      </c>
      <c r="K91" s="288">
        <f t="shared" si="69"/>
        <v>0</v>
      </c>
      <c r="L91" s="288">
        <f t="shared" si="69"/>
        <v>0</v>
      </c>
      <c r="M91" s="288">
        <f t="shared" si="69"/>
        <v>0</v>
      </c>
      <c r="N91" s="288">
        <f t="shared" si="69"/>
        <v>0</v>
      </c>
      <c r="O91" s="288">
        <f t="shared" si="69"/>
        <v>0</v>
      </c>
      <c r="P91" s="288">
        <f t="shared" si="69"/>
        <v>0</v>
      </c>
      <c r="Q91" s="288">
        <f t="shared" si="69"/>
        <v>0</v>
      </c>
      <c r="R91" s="288">
        <f t="shared" si="69"/>
        <v>0</v>
      </c>
      <c r="S91" s="288">
        <f t="shared" si="69"/>
        <v>0</v>
      </c>
      <c r="T91" s="288">
        <f t="shared" si="69"/>
        <v>0</v>
      </c>
      <c r="U91" s="288">
        <f t="shared" si="69"/>
        <v>0</v>
      </c>
      <c r="V91" s="288">
        <f t="shared" si="69"/>
        <v>0</v>
      </c>
      <c r="W91" s="288">
        <f t="shared" si="69"/>
        <v>0</v>
      </c>
      <c r="X91" s="288">
        <f t="shared" si="69"/>
        <v>0</v>
      </c>
      <c r="Y91" s="288">
        <f t="shared" si="69"/>
        <v>0</v>
      </c>
      <c r="Z91" s="288">
        <f t="shared" si="69"/>
        <v>0</v>
      </c>
      <c r="AA91" s="288">
        <f t="shared" si="69"/>
        <v>0</v>
      </c>
      <c r="AB91" s="288">
        <f t="shared" si="69"/>
        <v>0</v>
      </c>
      <c r="AC91" s="288">
        <f t="shared" si="69"/>
        <v>0</v>
      </c>
      <c r="AD91" s="288">
        <f t="shared" si="69"/>
        <v>0</v>
      </c>
      <c r="AE91" s="288">
        <f t="shared" si="69"/>
        <v>0</v>
      </c>
      <c r="AF91" s="288">
        <f t="shared" si="69"/>
        <v>0</v>
      </c>
      <c r="AG91" s="288">
        <f t="shared" si="69"/>
        <v>0</v>
      </c>
      <c r="AH91" s="288">
        <f t="shared" si="69"/>
        <v>0</v>
      </c>
      <c r="AI91" s="288">
        <f t="shared" si="69"/>
        <v>0</v>
      </c>
      <c r="AJ91" s="288">
        <f t="shared" si="69"/>
        <v>0</v>
      </c>
      <c r="AK91" s="288">
        <f t="shared" si="69"/>
        <v>0</v>
      </c>
      <c r="AL91" s="288">
        <f t="shared" si="69"/>
        <v>0</v>
      </c>
      <c r="AM91" s="288">
        <f t="shared" si="69"/>
        <v>0</v>
      </c>
      <c r="AN91" s="288">
        <f t="shared" si="69"/>
        <v>0</v>
      </c>
      <c r="AO91" s="288">
        <f t="shared" si="69"/>
        <v>0</v>
      </c>
      <c r="AP91" s="288">
        <f t="shared" si="69"/>
        <v>0</v>
      </c>
      <c r="AQ91" s="288">
        <f t="shared" si="69"/>
        <v>0</v>
      </c>
      <c r="AR91" s="288">
        <f t="shared" si="69"/>
        <v>0</v>
      </c>
      <c r="AS91" s="288">
        <f t="shared" si="69"/>
        <v>0</v>
      </c>
      <c r="AT91" s="288">
        <f t="shared" si="69"/>
        <v>0</v>
      </c>
      <c r="AU91" s="288">
        <f t="shared" si="69"/>
        <v>0</v>
      </c>
      <c r="AV91" s="288">
        <f t="shared" si="69"/>
        <v>0</v>
      </c>
      <c r="AW91" s="288">
        <f t="shared" si="69"/>
        <v>0</v>
      </c>
      <c r="AX91" s="288">
        <f t="shared" si="69"/>
        <v>0</v>
      </c>
      <c r="AY91" s="288">
        <f t="shared" si="69"/>
        <v>0</v>
      </c>
      <c r="AZ91" s="288">
        <f t="shared" si="69"/>
        <v>0</v>
      </c>
      <c r="BA91" s="288">
        <f t="shared" si="69"/>
        <v>0</v>
      </c>
      <c r="BB91" s="288">
        <f t="shared" si="69"/>
        <v>0</v>
      </c>
      <c r="BC91" s="288">
        <f t="shared" si="69"/>
        <v>0</v>
      </c>
      <c r="BD91" s="288">
        <f t="shared" si="69"/>
        <v>0</v>
      </c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8"/>
      <c r="CI91" s="288"/>
      <c r="CJ91" s="288"/>
      <c r="CK91" s="288"/>
      <c r="CL91" s="288"/>
      <c r="CM91" s="288"/>
      <c r="CN91" s="288"/>
      <c r="CO91" s="288"/>
      <c r="CP91" s="288"/>
      <c r="CQ91" s="288"/>
      <c r="CR91" s="288"/>
      <c r="CS91" s="288"/>
      <c r="CT91" s="288"/>
      <c r="CU91" s="288"/>
      <c r="CV91" s="288"/>
      <c r="CW91" s="288"/>
      <c r="CX91" s="288"/>
      <c r="CY91" s="288"/>
      <c r="CZ91" s="288"/>
      <c r="DA91" s="288"/>
      <c r="DB91" s="288"/>
      <c r="DC91" s="288">
        <f t="shared" si="69"/>
        <v>0</v>
      </c>
    </row>
    <row r="92" spans="2:107" ht="15" hidden="1" customHeight="1" x14ac:dyDescent="0.25">
      <c r="H92" s="289"/>
      <c r="I92" s="289"/>
    </row>
    <row r="93" spans="2:107" ht="15" hidden="1" customHeight="1" x14ac:dyDescent="0.35">
      <c r="E93" s="213" t="s">
        <v>4071</v>
      </c>
      <c r="F93" s="214"/>
      <c r="G93" s="215">
        <f>RCB!$G$30</f>
        <v>0</v>
      </c>
      <c r="H93" s="289"/>
      <c r="I93" s="213" t="s">
        <v>4072</v>
      </c>
      <c r="J93" s="214"/>
      <c r="K93" s="215">
        <f>RCB!$J$30</f>
        <v>0</v>
      </c>
    </row>
    <row r="94" spans="2:107" ht="15" hidden="1" customHeight="1" x14ac:dyDescent="0.35">
      <c r="E94" s="213" t="s">
        <v>4075</v>
      </c>
      <c r="F94" s="214"/>
      <c r="G94" s="215">
        <f>RCB!$H$30</f>
        <v>0</v>
      </c>
      <c r="H94" s="289"/>
      <c r="I94" s="213" t="s">
        <v>4075</v>
      </c>
      <c r="J94" s="214"/>
      <c r="K94" s="215">
        <f>RCB!$K$30</f>
        <v>0</v>
      </c>
    </row>
    <row r="95" spans="2:107" ht="15" hidden="1" customHeight="1" x14ac:dyDescent="0.25">
      <c r="H95" s="289"/>
      <c r="I95" s="289"/>
    </row>
    <row r="96" spans="2:107" ht="15" hidden="1" customHeight="1" x14ac:dyDescent="0.25"/>
  </sheetData>
  <sheetProtection algorithmName="SHA-512" hashValue="uaB3BcCGO+ETEaqNQHMKLzx2PYIDZqONYPUZGz8oqP5NkmwTXybwvRNgyuKtqk0yxONB7HCfergdayrYxD/+BA==" saltValue="IgxqlmqcSctpMZhxMLLw6w==" spinCount="100000" sheet="1" objects="1" scenarios="1"/>
  <mergeCells count="19">
    <mergeCell ref="B85:F85"/>
    <mergeCell ref="B59:B61"/>
    <mergeCell ref="B62:B63"/>
    <mergeCell ref="B75:B77"/>
    <mergeCell ref="B78:B79"/>
    <mergeCell ref="B73:B74"/>
    <mergeCell ref="B2:F2"/>
    <mergeCell ref="B22:F22"/>
    <mergeCell ref="C26:C27"/>
    <mergeCell ref="B29:B31"/>
    <mergeCell ref="B11:B13"/>
    <mergeCell ref="C6:C7"/>
    <mergeCell ref="C8:C9"/>
    <mergeCell ref="B14:B18"/>
    <mergeCell ref="B32:B36"/>
    <mergeCell ref="B53:F53"/>
    <mergeCell ref="B40:F40"/>
    <mergeCell ref="B69:F69"/>
    <mergeCell ref="B57:B58"/>
  </mergeCells>
  <conditionalFormatting sqref="G5:G20 G25:G38 G55:G67 G71:G83 G87:G91">
    <cfRule type="expression" dxfId="75" priority="26">
      <formula>G5="ERRO"</formula>
    </cfRule>
  </conditionalFormatting>
  <conditionalFormatting sqref="G42:G48">
    <cfRule type="expression" dxfId="74" priority="11">
      <formula>G42="ERRO"</formula>
    </cfRule>
  </conditionalFormatting>
  <conditionalFormatting sqref="H12:DC12">
    <cfRule type="expression" dxfId="73" priority="5">
      <formula>OR(H12&gt;365,H12&lt;0)</formula>
    </cfRule>
  </conditionalFormatting>
  <conditionalFormatting sqref="H13:DC13 H31:DC31 H61:DC61 H77:DC77">
    <cfRule type="expression" dxfId="72" priority="25">
      <formula>OR(H13&gt;8760,H13&lt;0)</formula>
    </cfRule>
  </conditionalFormatting>
  <conditionalFormatting sqref="H14:DC14">
    <cfRule type="expression" dxfId="71" priority="3">
      <formula>OR(H14&gt;3,H14&lt;0)</formula>
    </cfRule>
  </conditionalFormatting>
  <conditionalFormatting sqref="H15:DC15">
    <cfRule type="expression" dxfId="70" priority="2">
      <formula>OR(H15&gt;22,H15&lt;0)</formula>
    </cfRule>
  </conditionalFormatting>
  <conditionalFormatting sqref="H16:DC16">
    <cfRule type="expression" dxfId="69" priority="1">
      <formula>OR(H16&gt;12,H16&lt;0)</formula>
    </cfRule>
  </conditionalFormatting>
  <conditionalFormatting sqref="H18:DC18 H36:DC36 H63:DC63 H79:DC79">
    <cfRule type="expression" dxfId="68" priority="27">
      <formula>OR(H18&gt;1,H18&lt;0)</formula>
    </cfRule>
  </conditionalFormatting>
  <conditionalFormatting sqref="H30:DC30">
    <cfRule type="expression" dxfId="67" priority="6">
      <formula>OR(H30&gt;365,H30&lt;0)</formula>
    </cfRule>
  </conditionalFormatting>
  <conditionalFormatting sqref="H32:DC32">
    <cfRule type="expression" dxfId="66" priority="17">
      <formula>OR(H32&gt;3,H32&lt;0)</formula>
    </cfRule>
  </conditionalFormatting>
  <conditionalFormatting sqref="H33:DC33">
    <cfRule type="expression" dxfId="65" priority="16">
      <formula>OR(H33&gt;22,H33&lt;0)</formula>
    </cfRule>
  </conditionalFormatting>
  <conditionalFormatting sqref="H34:DC34">
    <cfRule type="expression" dxfId="64" priority="15">
      <formula>OR(H34&gt;12,H34&lt;0)</formula>
    </cfRule>
  </conditionalFormatting>
  <conditionalFormatting sqref="H60:DC60 H76:DC76">
    <cfRule type="expression" dxfId="63" priority="28">
      <formula>OR(H60&gt;365,H60&lt;0)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8:F18 DC1:IV1 A13:G13 A12:G12 A17:G17 A14 A15:B15 A16:G16 DC49:IV65534 E43:F43 A49:F87 E45:F45 A89:F89 A88:C88 E88:F88 A90:C90 E90:F90 A46:F46 H25:BD25 H39:BD41 I78:BD78 H79:BD90 I75:BD76 H77:BD77 I72:BD73 H74:BD74 I62:BD62 H63:BD71 I59:BD60 H61:BD61 I56:BD57 H58:BD58 H49:BD55 I8:BD9 A91:BD65534 A5:A11 A30:F31 F26 DD2:IV3 A1:BD3 C5:G5 C6:G6 C7:G7 C8:G8 C9:G9 C10:G11 C14:G14 A21:F23 A19:A20 C19:F20 C25:F25 C26:D26 C27:F27 C28:F29 A33:F36 A32 C32:F32 A39:F41 A37:A38 C37:F38 A42:A45 C42:F42 C43 C44:F44 C45 DD5:IV23 H21:BD23 H24:DC24 D15:G15 DD25:IV46 A25:A29" unlockedFormula="1"/>
    <ignoredError sqref="G49:G90 G25:G27 G18:G23 G28:G41" formula="1" unlockedFormula="1"/>
    <ignoredError sqref="G43:G45 L31:AC3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6"/>
  <dimension ref="B2:Z123"/>
  <sheetViews>
    <sheetView zoomScale="115" zoomScaleNormal="115" workbookViewId="0">
      <selection activeCell="J6" sqref="H6:J6"/>
    </sheetView>
  </sheetViews>
  <sheetFormatPr defaultColWidth="9.140625" defaultRowHeight="15" customHeight="1" x14ac:dyDescent="0.25"/>
  <cols>
    <col min="1" max="1" width="3.7109375" style="52" customWidth="1"/>
    <col min="2" max="2" width="3.28515625" style="52" bestFit="1" customWidth="1"/>
    <col min="3" max="7" width="10.7109375" style="52" customWidth="1"/>
    <col min="8" max="9" width="11.42578125" style="52" bestFit="1" customWidth="1"/>
    <col min="10" max="11" width="18.85546875" style="52" bestFit="1" customWidth="1"/>
    <col min="12" max="12" width="16.1406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7.85546875" style="52" customWidth="1"/>
    <col min="17" max="17" width="19.140625" style="52" customWidth="1"/>
    <col min="18" max="18" width="13.8554687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13.85546875" style="52" bestFit="1" customWidth="1"/>
    <col min="23" max="23" width="8.2851562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4271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EQUIPAMENTOS SOLAR FOTOVOLTAICO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76"/>
      <c r="D6" s="876"/>
      <c r="E6" s="876"/>
      <c r="F6" s="876"/>
      <c r="G6" s="827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 t="shared" ref="Q6:Q24" si="0"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76"/>
      <c r="D7" s="876"/>
      <c r="E7" s="876"/>
      <c r="F7" s="876"/>
      <c r="G7" s="827"/>
      <c r="H7" s="5"/>
      <c r="I7" s="3"/>
      <c r="J7" s="1"/>
      <c r="K7" s="143">
        <f t="shared" ref="K7:K26" si="1">N7-L7-M7</f>
        <v>0</v>
      </c>
      <c r="L7" s="1"/>
      <c r="M7" s="1"/>
      <c r="N7" s="143">
        <f t="shared" ref="N7:N26" si="2">I7*J7</f>
        <v>0</v>
      </c>
      <c r="P7" s="168">
        <f t="shared" ref="P7:P25" si="3">B7</f>
        <v>2</v>
      </c>
      <c r="Q7" s="834" t="str">
        <f t="shared" si="0"/>
        <v/>
      </c>
      <c r="R7" s="834"/>
      <c r="S7" s="834"/>
      <c r="T7" s="834"/>
      <c r="U7" s="835"/>
      <c r="V7" s="171" t="str">
        <f t="shared" ref="V7:V26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</row>
    <row r="8" spans="2:26" ht="15" customHeight="1" x14ac:dyDescent="0.25">
      <c r="B8" s="168">
        <v>3</v>
      </c>
      <c r="C8" s="876"/>
      <c r="D8" s="876"/>
      <c r="E8" s="876"/>
      <c r="F8" s="876"/>
      <c r="G8" s="827"/>
      <c r="H8" s="5"/>
      <c r="I8" s="3"/>
      <c r="J8" s="1"/>
      <c r="K8" s="143">
        <f t="shared" si="1"/>
        <v>0</v>
      </c>
      <c r="L8" s="1"/>
      <c r="M8" s="1"/>
      <c r="N8" s="143">
        <f t="shared" si="2"/>
        <v>0</v>
      </c>
      <c r="P8" s="168">
        <f t="shared" si="3"/>
        <v>3</v>
      </c>
      <c r="Q8" s="834" t="str">
        <f t="shared" si="0"/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</row>
    <row r="9" spans="2:26" ht="15" customHeight="1" x14ac:dyDescent="0.25">
      <c r="B9" s="168">
        <v>4</v>
      </c>
      <c r="C9" s="876"/>
      <c r="D9" s="876"/>
      <c r="E9" s="876"/>
      <c r="F9" s="876"/>
      <c r="G9" s="827"/>
      <c r="H9" s="5"/>
      <c r="I9" s="3"/>
      <c r="J9" s="1"/>
      <c r="K9" s="143">
        <f t="shared" si="1"/>
        <v>0</v>
      </c>
      <c r="L9" s="1"/>
      <c r="M9" s="1"/>
      <c r="N9" s="143">
        <f t="shared" si="2"/>
        <v>0</v>
      </c>
      <c r="P9" s="168">
        <f t="shared" si="3"/>
        <v>4</v>
      </c>
      <c r="Q9" s="834" t="str">
        <f t="shared" si="0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</row>
    <row r="10" spans="2:26" ht="15" customHeight="1" x14ac:dyDescent="0.25">
      <c r="B10" s="168">
        <v>5</v>
      </c>
      <c r="C10" s="876"/>
      <c r="D10" s="876"/>
      <c r="E10" s="876"/>
      <c r="F10" s="876"/>
      <c r="G10" s="827"/>
      <c r="H10" s="5"/>
      <c r="I10" s="3"/>
      <c r="J10" s="1"/>
      <c r="K10" s="143">
        <f t="shared" si="1"/>
        <v>0</v>
      </c>
      <c r="L10" s="460"/>
      <c r="M10" s="1"/>
      <c r="N10" s="143">
        <f t="shared" si="2"/>
        <v>0</v>
      </c>
      <c r="P10" s="168">
        <f t="shared" si="3"/>
        <v>5</v>
      </c>
      <c r="Q10" s="834" t="str">
        <f t="shared" si="0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</row>
    <row r="11" spans="2:26" ht="15" customHeight="1" x14ac:dyDescent="0.25">
      <c r="B11" s="168">
        <v>6</v>
      </c>
      <c r="C11" s="876"/>
      <c r="D11" s="876"/>
      <c r="E11" s="876"/>
      <c r="F11" s="876"/>
      <c r="G11" s="827"/>
      <c r="H11" s="5"/>
      <c r="I11" s="3"/>
      <c r="J11" s="510"/>
      <c r="K11" s="143">
        <f t="shared" si="1"/>
        <v>0</v>
      </c>
      <c r="L11" s="460"/>
      <c r="M11" s="460"/>
      <c r="N11" s="143">
        <f t="shared" si="2"/>
        <v>0</v>
      </c>
      <c r="P11" s="168">
        <f t="shared" si="3"/>
        <v>6</v>
      </c>
      <c r="Q11" s="834" t="str">
        <f t="shared" si="0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</row>
    <row r="12" spans="2:26" ht="15" customHeight="1" x14ac:dyDescent="0.25">
      <c r="B12" s="168">
        <v>7</v>
      </c>
      <c r="C12" s="876"/>
      <c r="D12" s="876"/>
      <c r="E12" s="876"/>
      <c r="F12" s="876"/>
      <c r="G12" s="827"/>
      <c r="H12" s="5"/>
      <c r="I12" s="3"/>
      <c r="J12" s="1"/>
      <c r="K12" s="143">
        <f t="shared" si="1"/>
        <v>0</v>
      </c>
      <c r="L12" s="1"/>
      <c r="M12" s="1"/>
      <c r="N12" s="143">
        <f t="shared" si="2"/>
        <v>0</v>
      </c>
      <c r="P12" s="168">
        <f t="shared" si="3"/>
        <v>7</v>
      </c>
      <c r="Q12" s="834" t="str">
        <f t="shared" si="0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</row>
    <row r="13" spans="2:26" ht="15" customHeight="1" x14ac:dyDescent="0.25">
      <c r="B13" s="168">
        <v>8</v>
      </c>
      <c r="C13" s="876"/>
      <c r="D13" s="876"/>
      <c r="E13" s="876"/>
      <c r="F13" s="876"/>
      <c r="G13" s="827"/>
      <c r="H13" s="5"/>
      <c r="I13" s="3"/>
      <c r="J13" s="1"/>
      <c r="K13" s="143">
        <f t="shared" si="1"/>
        <v>0</v>
      </c>
      <c r="L13" s="1"/>
      <c r="M13" s="1"/>
      <c r="N13" s="143">
        <f t="shared" si="2"/>
        <v>0</v>
      </c>
      <c r="P13" s="168">
        <f t="shared" si="3"/>
        <v>8</v>
      </c>
      <c r="Q13" s="834" t="str">
        <f t="shared" si="0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</row>
    <row r="14" spans="2:26" ht="15" customHeight="1" x14ac:dyDescent="0.25">
      <c r="B14" s="168">
        <v>9</v>
      </c>
      <c r="C14" s="876"/>
      <c r="D14" s="876"/>
      <c r="E14" s="876"/>
      <c r="F14" s="876"/>
      <c r="G14" s="827"/>
      <c r="H14" s="5"/>
      <c r="I14" s="3"/>
      <c r="J14" s="1"/>
      <c r="K14" s="143">
        <f t="shared" si="1"/>
        <v>0</v>
      </c>
      <c r="L14" s="1"/>
      <c r="M14" s="1"/>
      <c r="N14" s="143">
        <f t="shared" si="2"/>
        <v>0</v>
      </c>
      <c r="P14" s="168">
        <f t="shared" si="3"/>
        <v>9</v>
      </c>
      <c r="Q14" s="834" t="str">
        <f t="shared" si="0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</row>
    <row r="15" spans="2:26" ht="15" customHeight="1" x14ac:dyDescent="0.25">
      <c r="B15" s="168">
        <v>10</v>
      </c>
      <c r="C15" s="876"/>
      <c r="D15" s="876"/>
      <c r="E15" s="876"/>
      <c r="F15" s="876"/>
      <c r="G15" s="827"/>
      <c r="H15" s="4"/>
      <c r="I15" s="3"/>
      <c r="J15" s="1"/>
      <c r="K15" s="143">
        <f t="shared" si="1"/>
        <v>0</v>
      </c>
      <c r="L15" s="1"/>
      <c r="M15" s="1"/>
      <c r="N15" s="143">
        <f t="shared" si="2"/>
        <v>0</v>
      </c>
      <c r="P15" s="168">
        <f t="shared" si="3"/>
        <v>10</v>
      </c>
      <c r="Q15" s="834" t="str">
        <f t="shared" si="0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</row>
    <row r="16" spans="2:26" ht="15" customHeight="1" x14ac:dyDescent="0.25">
      <c r="B16" s="168">
        <v>11</v>
      </c>
      <c r="C16" s="876"/>
      <c r="D16" s="876"/>
      <c r="E16" s="876"/>
      <c r="F16" s="876"/>
      <c r="G16" s="827"/>
      <c r="H16" s="5"/>
      <c r="I16" s="3"/>
      <c r="J16" s="1"/>
      <c r="K16" s="143">
        <f t="shared" si="1"/>
        <v>0</v>
      </c>
      <c r="L16" s="1"/>
      <c r="M16" s="1"/>
      <c r="N16" s="143">
        <f t="shared" si="2"/>
        <v>0</v>
      </c>
      <c r="P16" s="168">
        <f t="shared" si="3"/>
        <v>11</v>
      </c>
      <c r="Q16" s="834" t="str">
        <f t="shared" si="0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</row>
    <row r="17" spans="2:25" ht="15" customHeight="1" x14ac:dyDescent="0.25">
      <c r="B17" s="168">
        <v>12</v>
      </c>
      <c r="C17" s="876"/>
      <c r="D17" s="876"/>
      <c r="E17" s="876"/>
      <c r="F17" s="876"/>
      <c r="G17" s="827"/>
      <c r="H17" s="5"/>
      <c r="I17" s="3"/>
      <c r="J17" s="1"/>
      <c r="K17" s="143">
        <f t="shared" si="1"/>
        <v>0</v>
      </c>
      <c r="L17" s="1"/>
      <c r="M17" s="1"/>
      <c r="N17" s="143">
        <f t="shared" si="2"/>
        <v>0</v>
      </c>
      <c r="P17" s="168">
        <f t="shared" si="3"/>
        <v>12</v>
      </c>
      <c r="Q17" s="834" t="str">
        <f t="shared" si="0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</row>
    <row r="18" spans="2:25" ht="15" customHeight="1" x14ac:dyDescent="0.25">
      <c r="B18" s="168">
        <v>13</v>
      </c>
      <c r="C18" s="876"/>
      <c r="D18" s="876"/>
      <c r="E18" s="876"/>
      <c r="F18" s="876"/>
      <c r="G18" s="827"/>
      <c r="H18" s="4"/>
      <c r="I18" s="3"/>
      <c r="J18" s="1"/>
      <c r="K18" s="143">
        <f t="shared" si="1"/>
        <v>0</v>
      </c>
      <c r="L18" s="1"/>
      <c r="M18" s="1"/>
      <c r="N18" s="143">
        <f t="shared" si="2"/>
        <v>0</v>
      </c>
      <c r="P18" s="168">
        <f t="shared" si="3"/>
        <v>13</v>
      </c>
      <c r="Q18" s="834" t="str">
        <f t="shared" si="0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</row>
    <row r="19" spans="2:25" ht="15" customHeight="1" x14ac:dyDescent="0.25">
      <c r="B19" s="168">
        <v>14</v>
      </c>
      <c r="C19" s="876"/>
      <c r="D19" s="876"/>
      <c r="E19" s="876"/>
      <c r="F19" s="876"/>
      <c r="G19" s="827"/>
      <c r="H19" s="5"/>
      <c r="I19" s="3"/>
      <c r="J19" s="1"/>
      <c r="K19" s="143">
        <f t="shared" si="1"/>
        <v>0</v>
      </c>
      <c r="L19" s="1"/>
      <c r="M19" s="1"/>
      <c r="N19" s="143">
        <f t="shared" si="2"/>
        <v>0</v>
      </c>
      <c r="P19" s="168">
        <f t="shared" si="3"/>
        <v>14</v>
      </c>
      <c r="Q19" s="834" t="str">
        <f t="shared" si="0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</row>
    <row r="20" spans="2:25" ht="15" customHeight="1" x14ac:dyDescent="0.25">
      <c r="B20" s="168">
        <v>15</v>
      </c>
      <c r="C20" s="876"/>
      <c r="D20" s="876"/>
      <c r="E20" s="876"/>
      <c r="F20" s="876"/>
      <c r="G20" s="827"/>
      <c r="H20" s="5"/>
      <c r="I20" s="3"/>
      <c r="J20" s="1"/>
      <c r="K20" s="143">
        <f t="shared" si="1"/>
        <v>0</v>
      </c>
      <c r="L20" s="1"/>
      <c r="M20" s="1"/>
      <c r="N20" s="143">
        <f t="shared" si="2"/>
        <v>0</v>
      </c>
      <c r="P20" s="168">
        <f t="shared" si="3"/>
        <v>15</v>
      </c>
      <c r="Q20" s="834" t="str">
        <f t="shared" si="0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</row>
    <row r="21" spans="2:25" ht="15" customHeight="1" x14ac:dyDescent="0.25">
      <c r="B21" s="168">
        <v>16</v>
      </c>
      <c r="C21" s="876"/>
      <c r="D21" s="876"/>
      <c r="E21" s="876"/>
      <c r="F21" s="876"/>
      <c r="G21" s="827"/>
      <c r="H21" s="5"/>
      <c r="I21" s="3"/>
      <c r="J21" s="1"/>
      <c r="K21" s="143">
        <f t="shared" si="1"/>
        <v>0</v>
      </c>
      <c r="L21" s="1"/>
      <c r="M21" s="1"/>
      <c r="N21" s="143">
        <f t="shared" si="2"/>
        <v>0</v>
      </c>
      <c r="P21" s="168">
        <f t="shared" si="3"/>
        <v>16</v>
      </c>
      <c r="Q21" s="834" t="str">
        <f t="shared" si="0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</row>
    <row r="22" spans="2:25" ht="15" customHeight="1" x14ac:dyDescent="0.25">
      <c r="B22" s="168">
        <v>17</v>
      </c>
      <c r="C22" s="876"/>
      <c r="D22" s="876"/>
      <c r="E22" s="876"/>
      <c r="F22" s="876"/>
      <c r="G22" s="827"/>
      <c r="H22" s="5"/>
      <c r="I22" s="3"/>
      <c r="J22" s="1"/>
      <c r="K22" s="143">
        <f t="shared" si="1"/>
        <v>0</v>
      </c>
      <c r="L22" s="1"/>
      <c r="M22" s="1"/>
      <c r="N22" s="143">
        <f t="shared" si="2"/>
        <v>0</v>
      </c>
      <c r="P22" s="168">
        <f t="shared" si="3"/>
        <v>17</v>
      </c>
      <c r="Q22" s="834" t="str">
        <f t="shared" si="0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</row>
    <row r="23" spans="2:25" ht="15" customHeight="1" x14ac:dyDescent="0.25">
      <c r="B23" s="168">
        <v>18</v>
      </c>
      <c r="C23" s="876"/>
      <c r="D23" s="876"/>
      <c r="E23" s="876"/>
      <c r="F23" s="876"/>
      <c r="G23" s="827"/>
      <c r="H23" s="5"/>
      <c r="I23" s="3"/>
      <c r="J23" s="1"/>
      <c r="K23" s="143">
        <f t="shared" si="1"/>
        <v>0</v>
      </c>
      <c r="L23" s="1"/>
      <c r="M23" s="1"/>
      <c r="N23" s="143">
        <f t="shared" si="2"/>
        <v>0</v>
      </c>
      <c r="P23" s="168">
        <f t="shared" si="3"/>
        <v>18</v>
      </c>
      <c r="Q23" s="834" t="str">
        <f t="shared" si="0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</row>
    <row r="24" spans="2:25" ht="15" customHeight="1" x14ac:dyDescent="0.25">
      <c r="B24" s="168">
        <v>19</v>
      </c>
      <c r="C24" s="876"/>
      <c r="D24" s="876"/>
      <c r="E24" s="876"/>
      <c r="F24" s="876"/>
      <c r="G24" s="827"/>
      <c r="H24" s="5"/>
      <c r="I24" s="3"/>
      <c r="J24" s="1"/>
      <c r="K24" s="143">
        <f t="shared" si="1"/>
        <v>0</v>
      </c>
      <c r="L24" s="1"/>
      <c r="M24" s="1"/>
      <c r="N24" s="143">
        <f t="shared" si="2"/>
        <v>0</v>
      </c>
      <c r="P24" s="168">
        <f t="shared" si="3"/>
        <v>19</v>
      </c>
      <c r="Q24" s="834" t="str">
        <f t="shared" si="0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</row>
    <row r="25" spans="2:25" ht="15" customHeight="1" x14ac:dyDescent="0.25">
      <c r="B25" s="168">
        <v>20</v>
      </c>
      <c r="C25" s="539"/>
      <c r="D25" s="539"/>
      <c r="E25" s="539"/>
      <c r="F25" s="539"/>
      <c r="G25" s="534"/>
      <c r="H25" s="5"/>
      <c r="I25" s="3"/>
      <c r="J25" s="1"/>
      <c r="K25" s="143">
        <f t="shared" si="1"/>
        <v>0</v>
      </c>
      <c r="L25" s="1"/>
      <c r="M25" s="1"/>
      <c r="N25" s="143">
        <f t="shared" si="2"/>
        <v>0</v>
      </c>
      <c r="P25" s="168">
        <f t="shared" si="3"/>
        <v>20</v>
      </c>
      <c r="Q25" s="834" t="str">
        <f>IF(OR(C25=0,C25=""),"",C25)</f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</row>
    <row r="26" spans="2:25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 t="shared" si="1"/>
        <v>0</v>
      </c>
      <c r="L26" s="1"/>
      <c r="M26" s="1"/>
      <c r="N26" s="143">
        <f t="shared" si="2"/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 t="shared" si="4"/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5" ht="15" customHeight="1" x14ac:dyDescent="0.25">
      <c r="B27" s="180"/>
      <c r="C27" s="844" t="s">
        <v>4272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5065</v>
      </c>
      <c r="Q27" s="884"/>
      <c r="R27" s="884"/>
      <c r="S27" s="884"/>
      <c r="T27" s="884"/>
      <c r="U27" s="884"/>
      <c r="V27" s="885"/>
      <c r="W27" s="182" t="s">
        <v>4273</v>
      </c>
      <c r="X27" s="183">
        <f>SUM(X6:X26)</f>
        <v>0</v>
      </c>
      <c r="Y27" s="183">
        <f>SUM(Y6:Y26)</f>
        <v>0</v>
      </c>
    </row>
    <row r="28" spans="2:25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5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4274</v>
      </c>
      <c r="Q29" s="190"/>
      <c r="R29" s="191">
        <f>RCB!$G$12</f>
        <v>0</v>
      </c>
      <c r="T29" s="189" t="s">
        <v>4275</v>
      </c>
      <c r="U29" s="190"/>
      <c r="V29" s="191">
        <f>RCB!$J$12</f>
        <v>0</v>
      </c>
    </row>
    <row r="30" spans="2:25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5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 t="shared" ref="K31:K37" si="5">N31-L31-M31</f>
        <v>0</v>
      </c>
      <c r="L31" s="143">
        <v>0</v>
      </c>
      <c r="M31" s="143">
        <v>0</v>
      </c>
      <c r="N31" s="143">
        <f t="shared" ref="N31:N37" si="6">H31*I31*J31</f>
        <v>0</v>
      </c>
    </row>
    <row r="32" spans="2:25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si="5"/>
        <v>0</v>
      </c>
      <c r="L32" s="143">
        <v>0</v>
      </c>
      <c r="M32" s="143">
        <v>0</v>
      </c>
      <c r="N32" s="143">
        <f t="shared" si="6"/>
        <v>0</v>
      </c>
      <c r="P32" s="905" t="s">
        <v>3892</v>
      </c>
      <c r="Q32" s="906"/>
      <c r="R32" s="907"/>
      <c r="T32" s="905" t="s">
        <v>3794</v>
      </c>
      <c r="U32" s="906"/>
      <c r="V32" s="907"/>
    </row>
    <row r="33" spans="2:22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 t="shared" si="6"/>
        <v>0</v>
      </c>
      <c r="P33" s="189" t="s">
        <v>4276</v>
      </c>
      <c r="Q33" s="190"/>
      <c r="R33" s="492">
        <f>IF(N27=0,0,K55/'FI-FVBenef'!G9)</f>
        <v>0</v>
      </c>
      <c r="T33" s="189" t="s">
        <v>4276</v>
      </c>
      <c r="U33" s="190"/>
      <c r="V33" s="491">
        <f>IF(N27=0,0,N55/'FI-FVBenef'!G9)</f>
        <v>0</v>
      </c>
    </row>
    <row r="34" spans="2:22" ht="15" customHeight="1" x14ac:dyDescent="0.25">
      <c r="B34" s="175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  <c r="P34" s="189" t="s">
        <v>4277</v>
      </c>
      <c r="Q34" s="190"/>
      <c r="R34" s="491">
        <f>IF(N27=0,0,K55/'FI-FVBenef'!G11)</f>
        <v>0</v>
      </c>
      <c r="T34" s="189" t="s">
        <v>4277</v>
      </c>
      <c r="U34" s="190"/>
      <c r="V34" s="491">
        <f>IF(N27=0,0,N55/'FI-FVBenef'!G11)</f>
        <v>0</v>
      </c>
    </row>
    <row r="35" spans="2:22" ht="15" customHeight="1" x14ac:dyDescent="0.25">
      <c r="B35" s="168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22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22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22" ht="15" customHeight="1" x14ac:dyDescent="0.25">
      <c r="B38" s="195"/>
      <c r="C38" s="877" t="s">
        <v>4278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22" x14ac:dyDescent="0.25">
      <c r="B39" s="180"/>
      <c r="C39" s="844" t="s">
        <v>4279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22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22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22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22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22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22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22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22" hidden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Descarte!K80</f>
        <v>0</v>
      </c>
      <c r="L47" s="143">
        <v>0</v>
      </c>
      <c r="M47" s="143">
        <v>0</v>
      </c>
      <c r="N47" s="143">
        <f>Descarte!L80</f>
        <v>0</v>
      </c>
    </row>
    <row r="48" spans="2:22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'M&amp;V'!M344</f>
        <v>0</v>
      </c>
      <c r="L48" s="143">
        <v>0</v>
      </c>
      <c r="M48" s="143">
        <v>0</v>
      </c>
      <c r="N48" s="143">
        <f>'M&amp;V'!N344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/>
      <c r="M50" s="143"/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/>
      <c r="M51" s="143"/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/>
      <c r="M52" s="143"/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4280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4281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4282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EQUIPAMENTOS HSOLAR FOTOVOLTAICOS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 t="e">
        <f>IF(AND(K61&gt;0,CustoContabil!#REF!&gt;0),K61*(CustoContabil!#REF!/CustoContabil!#REF!)*W61,0)</f>
        <v>#REF!</v>
      </c>
      <c r="Y61" s="204" t="e">
        <f>IF(AND(N61&gt;0,CustoContabil!#REF!&gt;0),N61*(CustoContabil!#REF!/CustoContabil!#REF!)*W61,0)</f>
        <v>#REF!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7">N62-L62-M62</f>
        <v>0</v>
      </c>
      <c r="L62" s="142"/>
      <c r="M62" s="142"/>
      <c r="N62" s="158">
        <f t="shared" ref="N62:N81" si="8">I62*J62</f>
        <v>0</v>
      </c>
      <c r="P62" s="201">
        <f t="shared" ref="P62:P80" si="9">B62</f>
        <v>2</v>
      </c>
      <c r="Q62" s="866" t="str">
        <f t="shared" ref="Q62:Q81" si="10">IF(OR(C62=0,C62=""),"",C62)</f>
        <v/>
      </c>
      <c r="R62" s="866"/>
      <c r="S62" s="866"/>
      <c r="T62" s="866"/>
      <c r="U62" s="867"/>
      <c r="V62" s="202" t="str">
        <f t="shared" ref="V62:V81" si="11">IF(N62=0,"",H62)</f>
        <v/>
      </c>
      <c r="W62" s="203">
        <f>IF(OR(V62="",V62=0),0,(Projeto!$AD$8*((1+Projeto!$AD$8)^V62))/(((1+Projeto!$AD$8)^V62)-1))</f>
        <v>0</v>
      </c>
      <c r="X62" s="204" t="e">
        <f>IF(AND(K62&gt;0,CustoContabil!#REF!&gt;0),K62*(CustoContabil!#REF!/CustoContabil!#REF!)*W62,0)</f>
        <v>#REF!</v>
      </c>
      <c r="Y62" s="204" t="e">
        <f>IF(AND(N62&gt;0,CustoContabil!#REF!&gt;0),N62*(CustoContabil!#REF!/CustoContabil!#REF!)*W62,0)</f>
        <v>#REF!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 t="e">
        <f>IF(AND(K63&gt;0,CustoContabil!#REF!&gt;0),K63*(CustoContabil!#REF!/CustoContabil!#REF!)*W63,0)</f>
        <v>#REF!</v>
      </c>
      <c r="Y63" s="204" t="e">
        <f>IF(AND(N63&gt;0,CustoContabil!#REF!&gt;0),N63*(CustoContabil!#REF!/CustoContabil!#REF!)*W63,0)</f>
        <v>#REF!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 t="e">
        <f>IF(AND(K64&gt;0,CustoContabil!#REF!&gt;0),K64*(CustoContabil!#REF!/CustoContabil!#REF!)*W64,0)</f>
        <v>#REF!</v>
      </c>
      <c r="Y64" s="204" t="e">
        <f>IF(AND(N64&gt;0,CustoContabil!#REF!&gt;0),N64*(CustoContabil!#REF!/CustoContabil!#REF!)*W64,0)</f>
        <v>#REF!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 t="e">
        <f>IF(AND(K65&gt;0,CustoContabil!#REF!&gt;0),K65*(CustoContabil!#REF!/CustoContabil!#REF!)*W65,0)</f>
        <v>#REF!</v>
      </c>
      <c r="Y65" s="204" t="e">
        <f>IF(AND(N65&gt;0,CustoContabil!#REF!&gt;0),N65*(CustoContabil!#REF!/CustoContabil!#REF!)*W65,0)</f>
        <v>#REF!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 t="e">
        <f>IF(AND(K66&gt;0,CustoContabil!#REF!&gt;0),K66*(CustoContabil!#REF!/CustoContabil!#REF!)*W66,0)</f>
        <v>#REF!</v>
      </c>
      <c r="Y66" s="204" t="e">
        <f>IF(AND(N66&gt;0,CustoContabil!#REF!&gt;0),N66*(CustoContabil!#REF!/CustoContabil!#REF!)*W66,0)</f>
        <v>#REF!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 t="e">
        <f>IF(AND(K67&gt;0,CustoContabil!#REF!&gt;0),K67*(CustoContabil!#REF!/CustoContabil!#REF!)*W67,0)</f>
        <v>#REF!</v>
      </c>
      <c r="Y67" s="204" t="e">
        <f>IF(AND(N67&gt;0,CustoContabil!#REF!&gt;0),N67*(CustoContabil!#REF!/CustoContabil!#REF!)*W67,0)</f>
        <v>#REF!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 t="e">
        <f>IF(AND(K68&gt;0,CustoContabil!#REF!&gt;0),K68*(CustoContabil!#REF!/CustoContabil!#REF!)*W68,0)</f>
        <v>#REF!</v>
      </c>
      <c r="Y68" s="204" t="e">
        <f>IF(AND(N68&gt;0,CustoContabil!#REF!&gt;0),N68*(CustoContabil!#REF!/CustoContabil!#REF!)*W68,0)</f>
        <v>#REF!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 t="e">
        <f>IF(AND(K69&gt;0,CustoContabil!#REF!&gt;0),K69*(CustoContabil!#REF!/CustoContabil!#REF!)*W69,0)</f>
        <v>#REF!</v>
      </c>
      <c r="Y69" s="204" t="e">
        <f>IF(AND(N69&gt;0,CustoContabil!#REF!&gt;0),N69*(CustoContabil!#REF!/CustoContabil!#REF!)*W69,0)</f>
        <v>#REF!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 t="e">
        <f>IF(AND(K70&gt;0,CustoContabil!#REF!&gt;0),K70*(CustoContabil!#REF!/CustoContabil!#REF!)*W70,0)</f>
        <v>#REF!</v>
      </c>
      <c r="Y70" s="204" t="e">
        <f>IF(AND(N70&gt;0,CustoContabil!#REF!&gt;0),N70*(CustoContabil!#REF!/CustoContabil!#REF!)*W70,0)</f>
        <v>#REF!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 t="e">
        <f>IF(AND(K71&gt;0,CustoContabil!#REF!&gt;0),K71*(CustoContabil!#REF!/CustoContabil!#REF!)*W71,0)</f>
        <v>#REF!</v>
      </c>
      <c r="Y71" s="204" t="e">
        <f>IF(AND(N71&gt;0,CustoContabil!#REF!&gt;0),N71*(CustoContabil!#REF!/CustoContabil!#REF!)*W71,0)</f>
        <v>#REF!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 t="e">
        <f>IF(AND(K72&gt;0,CustoContabil!#REF!&gt;0),K72*(CustoContabil!#REF!/CustoContabil!#REF!)*W72,0)</f>
        <v>#REF!</v>
      </c>
      <c r="Y72" s="204" t="e">
        <f>IF(AND(N72&gt;0,CustoContabil!#REF!&gt;0),N72*(CustoContabil!#REF!/CustoContabil!#REF!)*W72,0)</f>
        <v>#REF!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 t="e">
        <f>IF(AND(K73&gt;0,CustoContabil!#REF!&gt;0),K73*(CustoContabil!#REF!/CustoContabil!#REF!)*W73,0)</f>
        <v>#REF!</v>
      </c>
      <c r="Y73" s="204" t="e">
        <f>IF(AND(N73&gt;0,CustoContabil!#REF!&gt;0),N73*(CustoContabil!#REF!/CustoContabil!#REF!)*W73,0)</f>
        <v>#REF!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 t="e">
        <f>IF(AND(K74&gt;0,CustoContabil!#REF!&gt;0),K74*(CustoContabil!#REF!/CustoContabil!#REF!)*W74,0)</f>
        <v>#REF!</v>
      </c>
      <c r="Y74" s="204" t="e">
        <f>IF(AND(N74&gt;0,CustoContabil!#REF!&gt;0),N74*(CustoContabil!#REF!/CustoContabil!#REF!)*W74,0)</f>
        <v>#REF!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 t="e">
        <f>IF(AND(K75&gt;0,CustoContabil!#REF!&gt;0),K75*(CustoContabil!#REF!/CustoContabil!#REF!)*W75,0)</f>
        <v>#REF!</v>
      </c>
      <c r="Y75" s="204" t="e">
        <f>IF(AND(N75&gt;0,CustoContabil!#REF!&gt;0),N75*(CustoContabil!#REF!/CustoContabil!#REF!)*W75,0)</f>
        <v>#REF!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 t="e">
        <f>IF(AND(K76&gt;0,CustoContabil!#REF!&gt;0),K76*(CustoContabil!#REF!/CustoContabil!#REF!)*W76,0)</f>
        <v>#REF!</v>
      </c>
      <c r="Y76" s="204" t="e">
        <f>IF(AND(N76&gt;0,CustoContabil!#REF!&gt;0),N76*(CustoContabil!#REF!/CustoContabil!#REF!)*W76,0)</f>
        <v>#REF!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 t="e">
        <f>IF(AND(K77&gt;0,CustoContabil!#REF!&gt;0),K77*(CustoContabil!#REF!/CustoContabil!#REF!)*W77,0)</f>
        <v>#REF!</v>
      </c>
      <c r="Y77" s="204" t="e">
        <f>IF(AND(N77&gt;0,CustoContabil!#REF!&gt;0),N77*(CustoContabil!#REF!/CustoContabil!#REF!)*W77,0)</f>
        <v>#REF!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 t="e">
        <f>IF(AND(K78&gt;0,CustoContabil!#REF!&gt;0),K78*(CustoContabil!#REF!/CustoContabil!#REF!)*W78,0)</f>
        <v>#REF!</v>
      </c>
      <c r="Y78" s="204" t="e">
        <f>IF(AND(N78&gt;0,CustoContabil!#REF!&gt;0),N78*(CustoContabil!#REF!/CustoContabil!#REF!)*W78,0)</f>
        <v>#REF!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 t="e">
        <f>IF(AND(K79&gt;0,CustoContabil!#REF!&gt;0),K79*(CustoContabil!#REF!/CustoContabil!#REF!)*W79,0)</f>
        <v>#REF!</v>
      </c>
      <c r="Y79" s="204" t="e">
        <f>IF(AND(N79&gt;0,CustoContabil!#REF!&gt;0),N79*(CustoContabil!#REF!/CustoContabil!#REF!)*W79,0)</f>
        <v>#REF!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 t="e">
        <f>IF(AND(K80&gt;0,CustoContabil!#REF!&gt;0),K80*(CustoContabil!#REF!/CustoContabil!#REF!)*W80,0)</f>
        <v>#REF!</v>
      </c>
      <c r="Y80" s="204" t="e">
        <f>IF(AND(N80&gt;0,CustoContabil!#REF!&gt;0),N80*(CustoContabil!#REF!/CustoContabil!#REF!)*W80,0)</f>
        <v>#REF!</v>
      </c>
    </row>
    <row r="81" spans="2:25" ht="15" hidden="1" customHeight="1" x14ac:dyDescent="0.25">
      <c r="B81" s="201"/>
      <c r="C81" s="868" t="s">
        <v>4066</v>
      </c>
      <c r="D81" s="869"/>
      <c r="E81" s="869"/>
      <c r="F81" s="869"/>
      <c r="G81" s="869"/>
      <c r="H81" s="205">
        <v>20</v>
      </c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/>
      <c r="Q81" s="866" t="str">
        <f t="shared" si="10"/>
        <v>Acessórios</v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 t="e">
        <f>IF(AND(K81&gt;0,CustoContabil!#REF!&gt;0),K81*(CustoContabil!#REF!/CustoContabil!#REF!)*W81,0)</f>
        <v>#REF!</v>
      </c>
      <c r="Y81" s="204" t="e">
        <f>IF(AND(N81&gt;0,CustoContabil!#REF!&gt;0),N81*(CustoContabil!#REF!/CustoContabil!#REF!)*W81,0)</f>
        <v>#REF!</v>
      </c>
    </row>
    <row r="82" spans="2:25" ht="15" hidden="1" customHeight="1" x14ac:dyDescent="0.25">
      <c r="B82" s="206"/>
      <c r="C82" s="838" t="s">
        <v>4283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4284</v>
      </c>
      <c r="Q82" s="872"/>
      <c r="R82" s="872"/>
      <c r="S82" s="872"/>
      <c r="T82" s="872"/>
      <c r="U82" s="872"/>
      <c r="V82" s="873"/>
      <c r="W82" s="208" t="s">
        <v>4273</v>
      </c>
      <c r="X82" s="209" t="e">
        <f>SUM(X61:X81)</f>
        <v>#REF!</v>
      </c>
      <c r="Y82" s="209" t="e">
        <f>SUM(Y61:Y81)</f>
        <v>#REF!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4285</v>
      </c>
      <c r="Q84" s="214"/>
      <c r="R84" s="215">
        <f>RCB!$G$35</f>
        <v>0</v>
      </c>
      <c r="T84" s="213" t="s">
        <v>4286</v>
      </c>
      <c r="U84" s="214"/>
      <c r="V84" s="215">
        <f>RCB!$J$35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RCB!$H$30</f>
        <v>0</v>
      </c>
      <c r="T85" s="213" t="s">
        <v>4075</v>
      </c>
      <c r="U85" s="214"/>
      <c r="V85" s="215">
        <f>RCB!$K$30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</row>
    <row r="91" spans="2:25" ht="15" hidden="1" customHeight="1" x14ac:dyDescent="0.25">
      <c r="B91" s="210"/>
      <c r="C91" s="874" t="s">
        <v>4287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</row>
    <row r="92" spans="2:25" ht="15" hidden="1" customHeight="1" x14ac:dyDescent="0.25">
      <c r="B92" s="206"/>
      <c r="C92" s="838" t="s">
        <v>4288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90"/>
      <c r="M94" s="291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4289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4290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90"/>
      <c r="M104" s="291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3925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 t="e">
        <f>Descarte!K174</f>
        <v>#REF!</v>
      </c>
      <c r="L115" s="158" t="e">
        <f>Descarte!#REF!</f>
        <v>#REF!</v>
      </c>
      <c r="M115" s="158" t="e">
        <f>Descarte!#REF!</f>
        <v>#REF!</v>
      </c>
      <c r="N115" s="158">
        <f>Descarte!L174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 t="e">
        <f>'M&amp;V'!M629</f>
        <v>#REF!</v>
      </c>
      <c r="L116" s="158" t="e">
        <f>'M&amp;V'!#REF!</f>
        <v>#REF!</v>
      </c>
      <c r="M116" s="158" t="e">
        <f>'M&amp;V'!#REF!</f>
        <v>#REF!</v>
      </c>
      <c r="N116" s="158">
        <f>'M&amp;V'!N629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t="15" hidden="1" customHeight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t="15" hidden="1" customHeight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t="15" hidden="1" customHeight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t="15" hidden="1" customHeight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t="15" hidden="1" customHeight="1" x14ac:dyDescent="0.25">
      <c r="B122" s="217"/>
      <c r="C122" s="840" t="s">
        <v>4291</v>
      </c>
      <c r="D122" s="840"/>
      <c r="E122" s="840"/>
      <c r="F122" s="840"/>
      <c r="G122" s="840"/>
      <c r="H122" s="840"/>
      <c r="I122" s="840"/>
      <c r="J122" s="841"/>
      <c r="K122" s="164" t="e">
        <f>SUM(K104,K109,K114:K116,K121)</f>
        <v>#REF!</v>
      </c>
      <c r="L122" s="164" t="e">
        <f>SUM(L104,L109,L114:L116,L121)</f>
        <v>#REF!</v>
      </c>
      <c r="M122" s="164" t="e">
        <f>SUM(M104,M109,M114:M116,M121)</f>
        <v>#REF!</v>
      </c>
      <c r="N122" s="164">
        <f>SUM(N104,N109,N114:N116,N121)</f>
        <v>0</v>
      </c>
    </row>
    <row r="123" spans="2:16" ht="15" hidden="1" customHeight="1" x14ac:dyDescent="0.25">
      <c r="B123" s="218"/>
      <c r="C123" s="818" t="s">
        <v>4292</v>
      </c>
      <c r="D123" s="818"/>
      <c r="E123" s="818"/>
      <c r="F123" s="818"/>
      <c r="G123" s="818"/>
      <c r="H123" s="818"/>
      <c r="I123" s="818"/>
      <c r="J123" s="819"/>
      <c r="K123" s="209" t="e">
        <f>SUM(K101,K122)</f>
        <v>#REF!</v>
      </c>
      <c r="L123" s="209" t="e">
        <f>SUM(L101,L122)</f>
        <v>#REF!</v>
      </c>
      <c r="M123" s="209" t="e">
        <f>SUM(M101,M122)</f>
        <v>#REF!</v>
      </c>
      <c r="N123" s="209">
        <f>SUM(N101,N122)</f>
        <v>0</v>
      </c>
    </row>
  </sheetData>
  <sheetProtection algorithmName="SHA-512" hashValue="JuFtZ6jbHn100LdsJuIdyoGy/qa6U1NxvTeDwW7bdb0LDAjYMuZTR2PdScH9Oilfi5SOktcyFNMjaoyzdP4mZg==" saltValue="Dl5QbjJv6DdzL1Wp0GQ43g==" spinCount="100000" sheet="1" objects="1" scenarios="1"/>
  <mergeCells count="180">
    <mergeCell ref="B2:N2"/>
    <mergeCell ref="B3:N3"/>
    <mergeCell ref="P2:Y2"/>
    <mergeCell ref="P3:Y3"/>
    <mergeCell ref="B4:J4"/>
    <mergeCell ref="K4:N4"/>
    <mergeCell ref="C12:G12"/>
    <mergeCell ref="Q12:U12"/>
    <mergeCell ref="C6:G6"/>
    <mergeCell ref="P4:X4"/>
    <mergeCell ref="B5:G5"/>
    <mergeCell ref="Q7:U7"/>
    <mergeCell ref="C8:G8"/>
    <mergeCell ref="Q8:U8"/>
    <mergeCell ref="C9:G9"/>
    <mergeCell ref="Q9:U9"/>
    <mergeCell ref="P5:U5"/>
    <mergeCell ref="C15:G15"/>
    <mergeCell ref="C14:G14"/>
    <mergeCell ref="C13:G13"/>
    <mergeCell ref="Q13:U13"/>
    <mergeCell ref="Q6:U6"/>
    <mergeCell ref="C7:G7"/>
    <mergeCell ref="Q15:U15"/>
    <mergeCell ref="C10:G10"/>
    <mergeCell ref="Q10:U10"/>
    <mergeCell ref="C11:G11"/>
    <mergeCell ref="Q11:U11"/>
    <mergeCell ref="Q14:U14"/>
    <mergeCell ref="C23:G23"/>
    <mergeCell ref="Q23:U23"/>
    <mergeCell ref="C24:G24"/>
    <mergeCell ref="Q24:U24"/>
    <mergeCell ref="C21:G21"/>
    <mergeCell ref="Q21:U21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Q22:U22"/>
    <mergeCell ref="C22:G22"/>
    <mergeCell ref="Q25:U25"/>
    <mergeCell ref="C36:G36"/>
    <mergeCell ref="C37:G37"/>
    <mergeCell ref="C33:G33"/>
    <mergeCell ref="C34:G34"/>
    <mergeCell ref="C38:J38"/>
    <mergeCell ref="C39:J39"/>
    <mergeCell ref="B30:G30"/>
    <mergeCell ref="C31:G31"/>
    <mergeCell ref="C32:G32"/>
    <mergeCell ref="B28:J29"/>
    <mergeCell ref="C35:G35"/>
    <mergeCell ref="K28:N29"/>
    <mergeCell ref="C26:G26"/>
    <mergeCell ref="Q26:U26"/>
    <mergeCell ref="C27:J27"/>
    <mergeCell ref="P27:V27"/>
    <mergeCell ref="P32:R32"/>
    <mergeCell ref="T32:V32"/>
    <mergeCell ref="B40:N40"/>
    <mergeCell ref="B41:J41"/>
    <mergeCell ref="K41:N41"/>
    <mergeCell ref="P59:X59"/>
    <mergeCell ref="C54:J54"/>
    <mergeCell ref="C55:J55"/>
    <mergeCell ref="B57:N57"/>
    <mergeCell ref="B58:N58"/>
    <mergeCell ref="P57:Y57"/>
    <mergeCell ref="P58:Y58"/>
    <mergeCell ref="C65:G65"/>
    <mergeCell ref="Q65:U65"/>
    <mergeCell ref="C46:J46"/>
    <mergeCell ref="C47:J47"/>
    <mergeCell ref="B42:H42"/>
    <mergeCell ref="C43:H43"/>
    <mergeCell ref="C44:H44"/>
    <mergeCell ref="C45:H45"/>
    <mergeCell ref="B59:J59"/>
    <mergeCell ref="K59:N59"/>
    <mergeCell ref="C48:J48"/>
    <mergeCell ref="B49:H49"/>
    <mergeCell ref="C50:H50"/>
    <mergeCell ref="C51:H51"/>
    <mergeCell ref="C52:H52"/>
    <mergeCell ref="C53:J53"/>
    <mergeCell ref="B60:G60"/>
    <mergeCell ref="P60:U60"/>
    <mergeCell ref="C61:G61"/>
    <mergeCell ref="Q61:U61"/>
    <mergeCell ref="C62:G62"/>
    <mergeCell ref="Q62:U62"/>
    <mergeCell ref="C63:G63"/>
    <mergeCell ref="Q63:U63"/>
    <mergeCell ref="C64:G64"/>
    <mergeCell ref="Q64:U64"/>
    <mergeCell ref="C77:G77"/>
    <mergeCell ref="Q77:U77"/>
    <mergeCell ref="C66:G66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72:G72"/>
    <mergeCell ref="Q72:U72"/>
    <mergeCell ref="C73:G73"/>
    <mergeCell ref="Q73:U73"/>
    <mergeCell ref="C74:G74"/>
    <mergeCell ref="Q74:U74"/>
    <mergeCell ref="C75:G75"/>
    <mergeCell ref="Q75:U75"/>
    <mergeCell ref="C76:G76"/>
    <mergeCell ref="Q76:U76"/>
    <mergeCell ref="C81:G81"/>
    <mergeCell ref="Q81:U81"/>
    <mergeCell ref="C82:J82"/>
    <mergeCell ref="P82:V82"/>
    <mergeCell ref="C78:G78"/>
    <mergeCell ref="Q78:U78"/>
    <mergeCell ref="C79:G79"/>
    <mergeCell ref="Q79:U79"/>
    <mergeCell ref="C80:G80"/>
    <mergeCell ref="Q80:U80"/>
    <mergeCell ref="B83:J83"/>
    <mergeCell ref="K83:N83"/>
    <mergeCell ref="C90:G90"/>
    <mergeCell ref="C91:J91"/>
    <mergeCell ref="C92:J92"/>
    <mergeCell ref="C84:J84"/>
    <mergeCell ref="B85:G85"/>
    <mergeCell ref="C86:G86"/>
    <mergeCell ref="C87:G87"/>
    <mergeCell ref="C88:G88"/>
    <mergeCell ref="C89:G89"/>
    <mergeCell ref="B93:J93"/>
    <mergeCell ref="K93:N93"/>
    <mergeCell ref="C99:J99"/>
    <mergeCell ref="C100:J100"/>
    <mergeCell ref="C101:J101"/>
    <mergeCell ref="C94:J94"/>
    <mergeCell ref="B95:H95"/>
    <mergeCell ref="C96:H96"/>
    <mergeCell ref="C97:H97"/>
    <mergeCell ref="C98:H98"/>
    <mergeCell ref="B102:N102"/>
    <mergeCell ref="C123:J123"/>
    <mergeCell ref="C118:H118"/>
    <mergeCell ref="C119:H119"/>
    <mergeCell ref="C120:H120"/>
    <mergeCell ref="C121:J121"/>
    <mergeCell ref="C122:J122"/>
    <mergeCell ref="C104:J104"/>
    <mergeCell ref="C109:J109"/>
    <mergeCell ref="C112:H112"/>
    <mergeCell ref="C113:H113"/>
    <mergeCell ref="B103:J103"/>
    <mergeCell ref="K103:N103"/>
    <mergeCell ref="C114:J114"/>
    <mergeCell ref="C115:J115"/>
    <mergeCell ref="C116:J116"/>
    <mergeCell ref="B117:H117"/>
    <mergeCell ref="B105:H105"/>
    <mergeCell ref="C106:H106"/>
    <mergeCell ref="C107:H107"/>
    <mergeCell ref="C108:H108"/>
    <mergeCell ref="B110:H110"/>
    <mergeCell ref="C111:H111"/>
  </mergeCells>
  <conditionalFormatting sqref="K6:K27 K31:K37 K39 K43:K48 N48 K50:K55 L53:M54 N54 L55:N55 K61:K82 K84 K86:K92 K94 K96:K101 K104 K106:K109 K111:K116 K118:K123">
    <cfRule type="cellIs" dxfId="62" priority="9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1 A110:IV65498 A109:N109 O109:IV109 A26:J26 A3:IV4 A2 C2:IV2 A58:IV60 A57 C57:IV57 A30:K30 A27:B27 D27:J27 A82:IV108 D38:J38 A38:B39 D39:J39 A40:IV41 A61:V61 A56:IV56 D54:J54 A54:B55 D55:J55 A47:K47 A62:V81 O28:IV28 Z26:IV26 K6:L6 K7:U7 A28:B28 K28 A29 X61:IV81 K8:U8 O29 Q29:S29 U29:IV29 D31:G31 A31:B33 H33:K34 W6:IV24 A12:K12 A34 L26:M26 O26:U26 A50:IV52 A48:J48 O48:IV48 A6:B10 D10:K10 A5:K5 N5:IV5 N47:IV47 A42:K42 N42:IV42 A49:K49 N49:IV49 O27 O38:IV39 N30:IV31 A43:H43 A44:J45 N45:IV45 A46:J46 A53:J53 O53:IV53 O54:IV55 N43:IV43 N44:IV44 O46:IV46 N34:O34 N33:O33 S33 S34 W33:IV33 W34:IV34 N32:O32 S32 W32:IV32 N6:V6 A14:U24 A13:K13 N13:U13 A11:B11 N11:U11 N10:U10 K11 N12:U12 N9:U9 Q27:IV27 K9 K31 K3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7"/>
  <dimension ref="A1:AA65"/>
  <sheetViews>
    <sheetView zoomScale="145" zoomScaleNormal="145" workbookViewId="0">
      <selection activeCell="H4" sqref="H4"/>
    </sheetView>
  </sheetViews>
  <sheetFormatPr defaultColWidth="9.140625" defaultRowHeight="15" customHeight="1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4.5703125" style="76" customWidth="1"/>
    <col min="5" max="5" width="9.85546875" style="219" bestFit="1" customWidth="1"/>
    <col min="6" max="6" width="11.42578125" style="220" customWidth="1"/>
    <col min="7" max="7" width="13.5703125" style="76" bestFit="1" customWidth="1"/>
    <col min="8" max="8" width="12.5703125" style="76" bestFit="1" customWidth="1"/>
    <col min="9" max="27" width="11.7109375" style="76" customWidth="1"/>
    <col min="28" max="16384" width="9.140625" style="76"/>
  </cols>
  <sheetData>
    <row r="1" spans="1:27" ht="15" customHeight="1" x14ac:dyDescent="0.25">
      <c r="A1" s="52"/>
    </row>
    <row r="2" spans="1:27" ht="15" customHeight="1" x14ac:dyDescent="0.25">
      <c r="B2" s="649" t="s">
        <v>4293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4294</v>
      </c>
      <c r="I3" s="224" t="s">
        <v>4295</v>
      </c>
      <c r="J3" s="224" t="s">
        <v>4296</v>
      </c>
      <c r="K3" s="224" t="s">
        <v>4297</v>
      </c>
      <c r="L3" s="224" t="s">
        <v>4298</v>
      </c>
      <c r="M3" s="224" t="s">
        <v>4299</v>
      </c>
      <c r="N3" s="224" t="s">
        <v>4300</v>
      </c>
      <c r="O3" s="224" t="s">
        <v>4301</v>
      </c>
      <c r="P3" s="224" t="s">
        <v>4302</v>
      </c>
      <c r="Q3" s="224" t="s">
        <v>4303</v>
      </c>
      <c r="R3" s="224" t="s">
        <v>4304</v>
      </c>
      <c r="S3" s="224" t="s">
        <v>4305</v>
      </c>
      <c r="T3" s="224" t="s">
        <v>4306</v>
      </c>
      <c r="U3" s="224" t="s">
        <v>4307</v>
      </c>
      <c r="V3" s="224" t="s">
        <v>4308</v>
      </c>
      <c r="W3" s="224" t="s">
        <v>4309</v>
      </c>
      <c r="X3" s="224" t="s">
        <v>4310</v>
      </c>
      <c r="Y3" s="224" t="s">
        <v>4311</v>
      </c>
      <c r="Z3" s="224" t="s">
        <v>4312</v>
      </c>
      <c r="AA3" s="224" t="s">
        <v>4313</v>
      </c>
    </row>
    <row r="4" spans="1:2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</row>
    <row r="5" spans="1:27" ht="15" customHeight="1" x14ac:dyDescent="0.25">
      <c r="B5" s="515">
        <v>2</v>
      </c>
      <c r="C5" s="225" t="s">
        <v>4196</v>
      </c>
      <c r="D5" s="225"/>
      <c r="E5" s="226"/>
      <c r="F5" s="227"/>
      <c r="G5" s="228"/>
      <c r="H5" s="417"/>
      <c r="I5" s="417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" customHeight="1" x14ac:dyDescent="0.25">
      <c r="B6" s="515">
        <v>3</v>
      </c>
      <c r="C6" s="225" t="s">
        <v>4314</v>
      </c>
      <c r="D6" s="225"/>
      <c r="E6" s="231" t="s">
        <v>4315</v>
      </c>
      <c r="F6" s="232" t="s">
        <v>4259</v>
      </c>
      <c r="G6" s="554">
        <f>SUM(H6:AA6)</f>
        <v>0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 customHeight="1" x14ac:dyDescent="0.25">
      <c r="B7" s="515">
        <v>4</v>
      </c>
      <c r="C7" s="225" t="s">
        <v>3980</v>
      </c>
      <c r="D7" s="225"/>
      <c r="E7" s="231"/>
      <c r="F7" s="232" t="s">
        <v>4257</v>
      </c>
      <c r="G7" s="235">
        <f>SUM(H7:AA7)</f>
        <v>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15" customHeight="1" x14ac:dyDescent="0.25">
      <c r="B8" s="544">
        <v>5</v>
      </c>
      <c r="C8" s="225" t="s">
        <v>5094</v>
      </c>
      <c r="D8" s="225"/>
      <c r="E8" s="231" t="s">
        <v>3857</v>
      </c>
      <c r="F8" s="232"/>
      <c r="G8" s="58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" customHeight="1" x14ac:dyDescent="0.25">
      <c r="B9" s="544">
        <v>7</v>
      </c>
      <c r="C9" s="225" t="s">
        <v>4205</v>
      </c>
      <c r="D9" s="225"/>
      <c r="E9" s="231" t="s">
        <v>4316</v>
      </c>
      <c r="F9" s="232" t="s">
        <v>4206</v>
      </c>
      <c r="G9" s="554">
        <f>SUM(H9:AA9)</f>
        <v>0</v>
      </c>
      <c r="H9" s="236">
        <f t="shared" ref="H9:AA9" si="0">(H6*H7)/1000</f>
        <v>0</v>
      </c>
      <c r="I9" s="236">
        <f t="shared" si="0"/>
        <v>0</v>
      </c>
      <c r="J9" s="236">
        <f t="shared" si="0"/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6">
        <f t="shared" si="0"/>
        <v>0</v>
      </c>
      <c r="P9" s="236">
        <f t="shared" si="0"/>
        <v>0</v>
      </c>
      <c r="Q9" s="236">
        <f t="shared" si="0"/>
        <v>0</v>
      </c>
      <c r="R9" s="236">
        <f t="shared" si="0"/>
        <v>0</v>
      </c>
      <c r="S9" s="236">
        <f t="shared" si="0"/>
        <v>0</v>
      </c>
      <c r="T9" s="236">
        <f t="shared" si="0"/>
        <v>0</v>
      </c>
      <c r="U9" s="236">
        <f t="shared" si="0"/>
        <v>0</v>
      </c>
      <c r="V9" s="236">
        <f t="shared" si="0"/>
        <v>0</v>
      </c>
      <c r="W9" s="236">
        <f t="shared" si="0"/>
        <v>0</v>
      </c>
      <c r="X9" s="236">
        <f t="shared" si="0"/>
        <v>0</v>
      </c>
      <c r="Y9" s="236">
        <f t="shared" si="0"/>
        <v>0</v>
      </c>
      <c r="Z9" s="236">
        <f t="shared" si="0"/>
        <v>0</v>
      </c>
      <c r="AA9" s="236">
        <f t="shared" si="0"/>
        <v>0</v>
      </c>
    </row>
    <row r="10" spans="1:27" ht="15" customHeight="1" x14ac:dyDescent="0.25">
      <c r="B10" s="899">
        <v>8</v>
      </c>
      <c r="C10" s="225" t="s">
        <v>4317</v>
      </c>
      <c r="D10" s="225"/>
      <c r="E10" s="231"/>
      <c r="F10" s="232" t="s">
        <v>4318</v>
      </c>
      <c r="G10" s="237" t="str">
        <f>IF(COUNTA(H10:AA10)=0,"",IF(OR(LARGE(H10:AA10,1)&gt;1,SMALL(H10:AA10,1)&lt;0),"ERRO",""))</f>
        <v/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5" customHeight="1" x14ac:dyDescent="0.25">
      <c r="B11" s="901"/>
      <c r="C11" s="225" t="s">
        <v>4319</v>
      </c>
      <c r="D11" s="225"/>
      <c r="E11" s="231" t="s">
        <v>4316</v>
      </c>
      <c r="F11" s="232" t="s">
        <v>4320</v>
      </c>
      <c r="G11" s="554">
        <f>SUM(H11:AA11)</f>
        <v>0</v>
      </c>
      <c r="H11" s="236">
        <f>H9*H10</f>
        <v>0</v>
      </c>
      <c r="I11" s="236">
        <f t="shared" ref="I11:Y11" si="1">I9*I10</f>
        <v>0</v>
      </c>
      <c r="J11" s="236">
        <f t="shared" si="1"/>
        <v>0</v>
      </c>
      <c r="K11" s="236">
        <f t="shared" si="1"/>
        <v>0</v>
      </c>
      <c r="L11" s="236">
        <f t="shared" si="1"/>
        <v>0</v>
      </c>
      <c r="M11" s="236">
        <f t="shared" si="1"/>
        <v>0</v>
      </c>
      <c r="N11" s="236">
        <f t="shared" si="1"/>
        <v>0</v>
      </c>
      <c r="O11" s="236">
        <f t="shared" si="1"/>
        <v>0</v>
      </c>
      <c r="P11" s="236">
        <f t="shared" si="1"/>
        <v>0</v>
      </c>
      <c r="Q11" s="236">
        <f t="shared" si="1"/>
        <v>0</v>
      </c>
      <c r="R11" s="236">
        <f t="shared" si="1"/>
        <v>0</v>
      </c>
      <c r="S11" s="236">
        <f t="shared" si="1"/>
        <v>0</v>
      </c>
      <c r="T11" s="236">
        <f t="shared" si="1"/>
        <v>0</v>
      </c>
      <c r="U11" s="236">
        <f t="shared" si="1"/>
        <v>0</v>
      </c>
      <c r="V11" s="236">
        <f t="shared" si="1"/>
        <v>0</v>
      </c>
      <c r="W11" s="236">
        <f t="shared" si="1"/>
        <v>0</v>
      </c>
      <c r="X11" s="236">
        <f t="shared" si="1"/>
        <v>0</v>
      </c>
      <c r="Y11" s="236">
        <f t="shared" si="1"/>
        <v>0</v>
      </c>
      <c r="Z11" s="236">
        <f>Z9*Z10</f>
        <v>0</v>
      </c>
      <c r="AA11" s="236">
        <f>AA9*AA10</f>
        <v>0</v>
      </c>
    </row>
    <row r="12" spans="1:27" ht="15" customHeight="1" x14ac:dyDescent="0.25">
      <c r="B12" s="899">
        <v>9</v>
      </c>
      <c r="C12" s="225" t="s">
        <v>4321</v>
      </c>
      <c r="D12" s="225"/>
      <c r="E12" s="231" t="s">
        <v>4208</v>
      </c>
      <c r="F12" s="232"/>
      <c r="G12" s="237" t="str">
        <f>IF(COUNTA(H12:AA12)=0,"",IF(SMALL(H12:AA12,1)&lt;0,"ERRO",""))</f>
        <v/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15" customHeight="1" x14ac:dyDescent="0.25">
      <c r="B13" s="900"/>
      <c r="C13" s="239" t="s">
        <v>4209</v>
      </c>
      <c r="D13" s="239"/>
      <c r="E13" s="558" t="s">
        <v>4210</v>
      </c>
      <c r="F13" s="232"/>
      <c r="G13" s="237" t="str">
        <f>IF(COUNTA(H13:AA13)=0,"",IF(OR(LARGE(H13:AA13,1)&gt;365,SMALL(H13:AA13,1)&lt;0),"ERRO",""))</f>
        <v/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customHeight="1" x14ac:dyDescent="0.25">
      <c r="B14" s="901"/>
      <c r="C14" s="225" t="s">
        <v>4211</v>
      </c>
      <c r="D14" s="225"/>
      <c r="E14" s="231" t="s">
        <v>4212</v>
      </c>
      <c r="F14" s="232" t="s">
        <v>4213</v>
      </c>
      <c r="G14" s="237" t="str">
        <f>IF(COUNTA(H14:AA14)=0,"",IF(OR(LARGE(H14:AA14,1)&gt;8760,SMALL(H14:AA14,1)&lt;0),"ERRO",""))</f>
        <v/>
      </c>
      <c r="H14" s="241">
        <f>H12*H13</f>
        <v>0</v>
      </c>
      <c r="I14" s="241">
        <f t="shared" ref="I14:Y14" si="2">I12*I13</f>
        <v>0</v>
      </c>
      <c r="J14" s="241">
        <f t="shared" si="2"/>
        <v>0</v>
      </c>
      <c r="K14" s="241">
        <f t="shared" si="2"/>
        <v>0</v>
      </c>
      <c r="L14" s="241">
        <f t="shared" si="2"/>
        <v>0</v>
      </c>
      <c r="M14" s="241">
        <f t="shared" si="2"/>
        <v>0</v>
      </c>
      <c r="N14" s="241">
        <f t="shared" si="2"/>
        <v>0</v>
      </c>
      <c r="O14" s="241">
        <f t="shared" si="2"/>
        <v>0</v>
      </c>
      <c r="P14" s="241">
        <f t="shared" si="2"/>
        <v>0</v>
      </c>
      <c r="Q14" s="241">
        <f t="shared" si="2"/>
        <v>0</v>
      </c>
      <c r="R14" s="241">
        <f t="shared" si="2"/>
        <v>0</v>
      </c>
      <c r="S14" s="241">
        <f t="shared" si="2"/>
        <v>0</v>
      </c>
      <c r="T14" s="241">
        <f t="shared" si="2"/>
        <v>0</v>
      </c>
      <c r="U14" s="241">
        <f t="shared" si="2"/>
        <v>0</v>
      </c>
      <c r="V14" s="241">
        <f t="shared" si="2"/>
        <v>0</v>
      </c>
      <c r="W14" s="241">
        <f t="shared" si="2"/>
        <v>0</v>
      </c>
      <c r="X14" s="241">
        <f t="shared" si="2"/>
        <v>0</v>
      </c>
      <c r="Y14" s="241">
        <f t="shared" si="2"/>
        <v>0</v>
      </c>
      <c r="Z14" s="241">
        <f>Z12*Z13</f>
        <v>0</v>
      </c>
      <c r="AA14" s="241">
        <f>AA12*AA13</f>
        <v>0</v>
      </c>
    </row>
    <row r="15" spans="1:27" ht="15" customHeight="1" x14ac:dyDescent="0.25">
      <c r="B15" s="515">
        <v>10</v>
      </c>
      <c r="C15" s="225" t="s">
        <v>4322</v>
      </c>
      <c r="D15" s="225"/>
      <c r="E15" s="231" t="s">
        <v>3854</v>
      </c>
      <c r="F15" s="232" t="s">
        <v>4227</v>
      </c>
      <c r="G15" s="243">
        <f>SUM(H15:AA15)</f>
        <v>0</v>
      </c>
      <c r="H15" s="241">
        <f>(H11*H14)/1000</f>
        <v>0</v>
      </c>
      <c r="I15" s="241">
        <f t="shared" ref="I15:Y15" si="3">(I11*I14)/1000</f>
        <v>0</v>
      </c>
      <c r="J15" s="241">
        <f t="shared" si="3"/>
        <v>0</v>
      </c>
      <c r="K15" s="241">
        <f t="shared" si="3"/>
        <v>0</v>
      </c>
      <c r="L15" s="241">
        <f t="shared" si="3"/>
        <v>0</v>
      </c>
      <c r="M15" s="241">
        <f t="shared" si="3"/>
        <v>0</v>
      </c>
      <c r="N15" s="241">
        <f t="shared" si="3"/>
        <v>0</v>
      </c>
      <c r="O15" s="241">
        <f t="shared" si="3"/>
        <v>0</v>
      </c>
      <c r="P15" s="241">
        <f t="shared" si="3"/>
        <v>0</v>
      </c>
      <c r="Q15" s="241">
        <f t="shared" si="3"/>
        <v>0</v>
      </c>
      <c r="R15" s="241">
        <f t="shared" si="3"/>
        <v>0</v>
      </c>
      <c r="S15" s="241">
        <f t="shared" si="3"/>
        <v>0</v>
      </c>
      <c r="T15" s="241">
        <f t="shared" si="3"/>
        <v>0</v>
      </c>
      <c r="U15" s="241">
        <f t="shared" si="3"/>
        <v>0</v>
      </c>
      <c r="V15" s="241">
        <f t="shared" si="3"/>
        <v>0</v>
      </c>
      <c r="W15" s="241">
        <f t="shared" si="3"/>
        <v>0</v>
      </c>
      <c r="X15" s="241">
        <f t="shared" si="3"/>
        <v>0</v>
      </c>
      <c r="Y15" s="241">
        <f t="shared" si="3"/>
        <v>0</v>
      </c>
      <c r="Z15" s="241">
        <f>(Z11*Z14)/1000</f>
        <v>0</v>
      </c>
      <c r="AA15" s="241">
        <f>(AA11*AA14)/1000</f>
        <v>0</v>
      </c>
    </row>
    <row r="16" spans="1:27" ht="15" customHeight="1" x14ac:dyDescent="0.25">
      <c r="B16" s="515">
        <v>11</v>
      </c>
      <c r="C16" s="225" t="s">
        <v>5090</v>
      </c>
      <c r="D16" s="225"/>
      <c r="E16" s="231" t="s">
        <v>5044</v>
      </c>
      <c r="F16" s="232"/>
      <c r="G16" s="243"/>
      <c r="H16" s="241">
        <f>IFERROR(((H15/12)*1000)/H9,0)</f>
        <v>0</v>
      </c>
      <c r="I16" s="241">
        <f t="shared" ref="I16:AA16" si="4">IFERROR(((I15/12)*1000)/I9,0)</f>
        <v>0</v>
      </c>
      <c r="J16" s="241">
        <f t="shared" si="4"/>
        <v>0</v>
      </c>
      <c r="K16" s="241">
        <f t="shared" si="4"/>
        <v>0</v>
      </c>
      <c r="L16" s="241">
        <f t="shared" si="4"/>
        <v>0</v>
      </c>
      <c r="M16" s="241">
        <f t="shared" si="4"/>
        <v>0</v>
      </c>
      <c r="N16" s="241">
        <f t="shared" si="4"/>
        <v>0</v>
      </c>
      <c r="O16" s="241">
        <f t="shared" si="4"/>
        <v>0</v>
      </c>
      <c r="P16" s="241">
        <f t="shared" si="4"/>
        <v>0</v>
      </c>
      <c r="Q16" s="241">
        <f t="shared" si="4"/>
        <v>0</v>
      </c>
      <c r="R16" s="241">
        <f t="shared" si="4"/>
        <v>0</v>
      </c>
      <c r="S16" s="241">
        <f t="shared" si="4"/>
        <v>0</v>
      </c>
      <c r="T16" s="241">
        <f t="shared" si="4"/>
        <v>0</v>
      </c>
      <c r="U16" s="241">
        <f t="shared" si="4"/>
        <v>0</v>
      </c>
      <c r="V16" s="241">
        <f t="shared" si="4"/>
        <v>0</v>
      </c>
      <c r="W16" s="241">
        <f t="shared" si="4"/>
        <v>0</v>
      </c>
      <c r="X16" s="241">
        <f t="shared" si="4"/>
        <v>0</v>
      </c>
      <c r="Y16" s="241">
        <f t="shared" si="4"/>
        <v>0</v>
      </c>
      <c r="Z16" s="241">
        <f t="shared" si="4"/>
        <v>0</v>
      </c>
      <c r="AA16" s="241">
        <f t="shared" si="4"/>
        <v>0</v>
      </c>
    </row>
    <row r="18" spans="2:27" ht="15" customHeight="1" x14ac:dyDescent="0.25">
      <c r="B18" s="779" t="s">
        <v>4323</v>
      </c>
      <c r="C18" s="779"/>
      <c r="D18" s="779"/>
      <c r="E18" s="779"/>
      <c r="F18" s="779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</row>
    <row r="19" spans="2:27" s="103" customFormat="1" ht="15" customHeight="1" x14ac:dyDescent="0.25">
      <c r="B19" s="515"/>
      <c r="C19" s="247"/>
      <c r="D19" s="247"/>
      <c r="E19" s="247"/>
      <c r="F19" s="245"/>
      <c r="G19" s="223" t="s">
        <v>76</v>
      </c>
      <c r="H19" s="224" t="s">
        <v>4294</v>
      </c>
      <c r="I19" s="224" t="s">
        <v>4295</v>
      </c>
      <c r="J19" s="224" t="s">
        <v>4296</v>
      </c>
      <c r="K19" s="224" t="s">
        <v>4297</v>
      </c>
      <c r="L19" s="224" t="s">
        <v>4298</v>
      </c>
      <c r="M19" s="224" t="s">
        <v>4299</v>
      </c>
      <c r="N19" s="224" t="s">
        <v>4300</v>
      </c>
      <c r="O19" s="224" t="s">
        <v>4301</v>
      </c>
      <c r="P19" s="224" t="s">
        <v>4302</v>
      </c>
      <c r="Q19" s="224" t="s">
        <v>4303</v>
      </c>
      <c r="R19" s="224" t="s">
        <v>4304</v>
      </c>
      <c r="S19" s="224" t="s">
        <v>4305</v>
      </c>
      <c r="T19" s="224" t="s">
        <v>4306</v>
      </c>
      <c r="U19" s="224" t="s">
        <v>4307</v>
      </c>
      <c r="V19" s="224" t="s">
        <v>4308</v>
      </c>
      <c r="W19" s="224" t="s">
        <v>4309</v>
      </c>
      <c r="X19" s="224" t="s">
        <v>4310</v>
      </c>
      <c r="Y19" s="224" t="s">
        <v>4311</v>
      </c>
      <c r="Z19" s="224" t="s">
        <v>4312</v>
      </c>
      <c r="AA19" s="224" t="s">
        <v>4313</v>
      </c>
    </row>
    <row r="20" spans="2:27" ht="15" customHeight="1" x14ac:dyDescent="0.25">
      <c r="B20" s="515">
        <v>12</v>
      </c>
      <c r="C20" s="248" t="s">
        <v>4322</v>
      </c>
      <c r="D20" s="248"/>
      <c r="E20" s="557" t="s">
        <v>3854</v>
      </c>
      <c r="F20" s="232" t="s">
        <v>4246</v>
      </c>
      <c r="G20" s="243">
        <f>SUM(H20:AA20)</f>
        <v>0</v>
      </c>
      <c r="H20" s="241">
        <f t="shared" ref="H20:AA20" si="5">H15</f>
        <v>0</v>
      </c>
      <c r="I20" s="241">
        <f t="shared" si="5"/>
        <v>0</v>
      </c>
      <c r="J20" s="241">
        <f t="shared" si="5"/>
        <v>0</v>
      </c>
      <c r="K20" s="241">
        <f t="shared" si="5"/>
        <v>0</v>
      </c>
      <c r="L20" s="241">
        <f t="shared" si="5"/>
        <v>0</v>
      </c>
      <c r="M20" s="241">
        <f t="shared" si="5"/>
        <v>0</v>
      </c>
      <c r="N20" s="241">
        <f t="shared" si="5"/>
        <v>0</v>
      </c>
      <c r="O20" s="241">
        <f t="shared" si="5"/>
        <v>0</v>
      </c>
      <c r="P20" s="241">
        <f t="shared" si="5"/>
        <v>0</v>
      </c>
      <c r="Q20" s="241">
        <f t="shared" si="5"/>
        <v>0</v>
      </c>
      <c r="R20" s="241">
        <f t="shared" si="5"/>
        <v>0</v>
      </c>
      <c r="S20" s="241">
        <f t="shared" si="5"/>
        <v>0</v>
      </c>
      <c r="T20" s="241">
        <f t="shared" si="5"/>
        <v>0</v>
      </c>
      <c r="U20" s="241">
        <f t="shared" si="5"/>
        <v>0</v>
      </c>
      <c r="V20" s="241">
        <f t="shared" si="5"/>
        <v>0</v>
      </c>
      <c r="W20" s="241">
        <f t="shared" si="5"/>
        <v>0</v>
      </c>
      <c r="X20" s="241">
        <f t="shared" si="5"/>
        <v>0</v>
      </c>
      <c r="Y20" s="241">
        <f t="shared" si="5"/>
        <v>0</v>
      </c>
      <c r="Z20" s="241">
        <f t="shared" si="5"/>
        <v>0</v>
      </c>
      <c r="AA20" s="241">
        <f t="shared" si="5"/>
        <v>0</v>
      </c>
    </row>
    <row r="21" spans="2:27" ht="15" customHeight="1" x14ac:dyDescent="0.25">
      <c r="B21" s="515">
        <v>13</v>
      </c>
      <c r="C21" s="249" t="s">
        <v>5873</v>
      </c>
      <c r="D21" s="250">
        <f>'Escolha tarifa'!F25</f>
        <v>0</v>
      </c>
      <c r="E21" s="558" t="s">
        <v>3912</v>
      </c>
      <c r="F21" s="232" t="s">
        <v>4248</v>
      </c>
      <c r="G21" s="251">
        <f t="shared" ref="G21:AA21" si="6">IF(G15=0,0,G20/G15)</f>
        <v>0</v>
      </c>
      <c r="H21" s="252">
        <f t="shared" si="6"/>
        <v>0</v>
      </c>
      <c r="I21" s="252">
        <f t="shared" si="6"/>
        <v>0</v>
      </c>
      <c r="J21" s="252">
        <f t="shared" si="6"/>
        <v>0</v>
      </c>
      <c r="K21" s="252">
        <f t="shared" si="6"/>
        <v>0</v>
      </c>
      <c r="L21" s="252">
        <f t="shared" si="6"/>
        <v>0</v>
      </c>
      <c r="M21" s="252">
        <f t="shared" si="6"/>
        <v>0</v>
      </c>
      <c r="N21" s="252">
        <f t="shared" si="6"/>
        <v>0</v>
      </c>
      <c r="O21" s="252">
        <f t="shared" si="6"/>
        <v>0</v>
      </c>
      <c r="P21" s="252">
        <f t="shared" si="6"/>
        <v>0</v>
      </c>
      <c r="Q21" s="252">
        <f t="shared" si="6"/>
        <v>0</v>
      </c>
      <c r="R21" s="252">
        <f t="shared" si="6"/>
        <v>0</v>
      </c>
      <c r="S21" s="252">
        <f t="shared" si="6"/>
        <v>0</v>
      </c>
      <c r="T21" s="252">
        <f t="shared" si="6"/>
        <v>0</v>
      </c>
      <c r="U21" s="252">
        <f t="shared" si="6"/>
        <v>0</v>
      </c>
      <c r="V21" s="252">
        <f t="shared" si="6"/>
        <v>0</v>
      </c>
      <c r="W21" s="252">
        <f t="shared" si="6"/>
        <v>0</v>
      </c>
      <c r="X21" s="252">
        <f t="shared" si="6"/>
        <v>0</v>
      </c>
      <c r="Y21" s="252">
        <f t="shared" si="6"/>
        <v>0</v>
      </c>
      <c r="Z21" s="252">
        <f t="shared" si="6"/>
        <v>0</v>
      </c>
      <c r="AA21" s="252">
        <f t="shared" si="6"/>
        <v>0</v>
      </c>
    </row>
    <row r="22" spans="2:27" ht="15" customHeight="1" x14ac:dyDescent="0.25">
      <c r="B22" s="253"/>
      <c r="C22" s="254" t="s">
        <v>4324</v>
      </c>
      <c r="D22" s="254"/>
      <c r="E22" s="542" t="s">
        <v>3911</v>
      </c>
      <c r="F22" s="255" t="s">
        <v>4325</v>
      </c>
      <c r="G22" s="256">
        <f>SUM(H22:AA22)</f>
        <v>0</v>
      </c>
      <c r="H22" s="257">
        <f>H20*$D$21</f>
        <v>0</v>
      </c>
      <c r="I22" s="257">
        <f t="shared" ref="I22:Y22" si="7">I20*$D$21</f>
        <v>0</v>
      </c>
      <c r="J22" s="257">
        <f t="shared" si="7"/>
        <v>0</v>
      </c>
      <c r="K22" s="257">
        <f t="shared" si="7"/>
        <v>0</v>
      </c>
      <c r="L22" s="257">
        <f t="shared" si="7"/>
        <v>0</v>
      </c>
      <c r="M22" s="257">
        <f t="shared" si="7"/>
        <v>0</v>
      </c>
      <c r="N22" s="257">
        <f t="shared" si="7"/>
        <v>0</v>
      </c>
      <c r="O22" s="257">
        <f t="shared" si="7"/>
        <v>0</v>
      </c>
      <c r="P22" s="257">
        <f t="shared" si="7"/>
        <v>0</v>
      </c>
      <c r="Q22" s="257">
        <f t="shared" si="7"/>
        <v>0</v>
      </c>
      <c r="R22" s="257">
        <f t="shared" si="7"/>
        <v>0</v>
      </c>
      <c r="S22" s="257">
        <f t="shared" si="7"/>
        <v>0</v>
      </c>
      <c r="T22" s="257">
        <f t="shared" si="7"/>
        <v>0</v>
      </c>
      <c r="U22" s="257">
        <f t="shared" si="7"/>
        <v>0</v>
      </c>
      <c r="V22" s="257">
        <f t="shared" si="7"/>
        <v>0</v>
      </c>
      <c r="W22" s="257">
        <f t="shared" si="7"/>
        <v>0</v>
      </c>
      <c r="X22" s="257">
        <f t="shared" si="7"/>
        <v>0</v>
      </c>
      <c r="Y22" s="257">
        <f t="shared" si="7"/>
        <v>0</v>
      </c>
      <c r="Z22" s="257">
        <f>Z20*$D$21</f>
        <v>0</v>
      </c>
      <c r="AA22" s="257">
        <f>AA20*$D$21</f>
        <v>0</v>
      </c>
    </row>
    <row r="23" spans="2:27" ht="15" customHeight="1" x14ac:dyDescent="0.25">
      <c r="B23" s="253"/>
      <c r="C23" s="254" t="s">
        <v>4326</v>
      </c>
      <c r="D23" s="254"/>
      <c r="E23" s="542" t="s">
        <v>3911</v>
      </c>
      <c r="F23" s="255" t="s">
        <v>4327</v>
      </c>
      <c r="G23" s="256">
        <f>G20*D21</f>
        <v>0</v>
      </c>
      <c r="H23" s="257">
        <f>H20*$D$21</f>
        <v>0</v>
      </c>
      <c r="I23" s="257">
        <f t="shared" ref="I23:Y23" si="8">I20*$D$21</f>
        <v>0</v>
      </c>
      <c r="J23" s="257">
        <f t="shared" si="8"/>
        <v>0</v>
      </c>
      <c r="K23" s="257">
        <f t="shared" si="8"/>
        <v>0</v>
      </c>
      <c r="L23" s="257">
        <f t="shared" si="8"/>
        <v>0</v>
      </c>
      <c r="M23" s="257">
        <f t="shared" si="8"/>
        <v>0</v>
      </c>
      <c r="N23" s="257">
        <f t="shared" si="8"/>
        <v>0</v>
      </c>
      <c r="O23" s="257">
        <f t="shared" si="8"/>
        <v>0</v>
      </c>
      <c r="P23" s="257">
        <f t="shared" si="8"/>
        <v>0</v>
      </c>
      <c r="Q23" s="257">
        <f t="shared" si="8"/>
        <v>0</v>
      </c>
      <c r="R23" s="257">
        <f t="shared" si="8"/>
        <v>0</v>
      </c>
      <c r="S23" s="257">
        <f t="shared" si="8"/>
        <v>0</v>
      </c>
      <c r="T23" s="257">
        <f t="shared" si="8"/>
        <v>0</v>
      </c>
      <c r="U23" s="257">
        <f t="shared" si="8"/>
        <v>0</v>
      </c>
      <c r="V23" s="257">
        <f t="shared" si="8"/>
        <v>0</v>
      </c>
      <c r="W23" s="257">
        <f t="shared" si="8"/>
        <v>0</v>
      </c>
      <c r="X23" s="257">
        <f t="shared" si="8"/>
        <v>0</v>
      </c>
      <c r="Y23" s="257">
        <f t="shared" si="8"/>
        <v>0</v>
      </c>
      <c r="Z23" s="257">
        <f>Z20*$D$21</f>
        <v>0</v>
      </c>
      <c r="AA23" s="257">
        <f>AA20*$D$21</f>
        <v>0</v>
      </c>
    </row>
    <row r="25" spans="2:27" ht="15" customHeight="1" x14ac:dyDescent="0.35">
      <c r="E25" s="189" t="s">
        <v>4328</v>
      </c>
      <c r="F25" s="190"/>
      <c r="G25" s="191">
        <f>RCB!$G$12</f>
        <v>0</v>
      </c>
      <c r="I25" s="189" t="s">
        <v>4329</v>
      </c>
      <c r="J25" s="190"/>
      <c r="K25" s="191">
        <f>RCB!$J$12</f>
        <v>0</v>
      </c>
    </row>
    <row r="26" spans="2:27" ht="15" customHeight="1" x14ac:dyDescent="0.35">
      <c r="E26" s="189" t="s">
        <v>4074</v>
      </c>
      <c r="F26" s="190"/>
      <c r="G26" s="191">
        <f>RCB!$H$7</f>
        <v>0</v>
      </c>
      <c r="I26" s="189" t="s">
        <v>4075</v>
      </c>
      <c r="J26" s="190"/>
      <c r="K26" s="191">
        <f>RCB!$K$7</f>
        <v>0</v>
      </c>
    </row>
    <row r="28" spans="2:27" ht="15" hidden="1" customHeight="1" x14ac:dyDescent="0.25">
      <c r="B28" s="858" t="s">
        <v>4330</v>
      </c>
      <c r="C28" s="859"/>
      <c r="D28" s="859"/>
      <c r="E28" s="859"/>
      <c r="F28" s="859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</row>
    <row r="29" spans="2:27" s="103" customFormat="1" ht="15" hidden="1" customHeight="1" x14ac:dyDescent="0.25">
      <c r="B29" s="259"/>
      <c r="C29" s="260"/>
      <c r="D29" s="260"/>
      <c r="E29" s="260"/>
      <c r="F29" s="261"/>
      <c r="G29" s="262" t="s">
        <v>76</v>
      </c>
      <c r="H29" s="263" t="s">
        <v>4294</v>
      </c>
      <c r="I29" s="263" t="s">
        <v>4295</v>
      </c>
      <c r="J29" s="263" t="s">
        <v>4296</v>
      </c>
      <c r="K29" s="263" t="s">
        <v>4297</v>
      </c>
      <c r="L29" s="263" t="s">
        <v>4298</v>
      </c>
      <c r="M29" s="263" t="s">
        <v>4299</v>
      </c>
      <c r="N29" s="263" t="s">
        <v>4300</v>
      </c>
      <c r="O29" s="263" t="s">
        <v>4301</v>
      </c>
      <c r="P29" s="263" t="s">
        <v>4302</v>
      </c>
      <c r="Q29" s="263" t="s">
        <v>4303</v>
      </c>
      <c r="R29" s="263" t="s">
        <v>4304</v>
      </c>
      <c r="S29" s="263" t="s">
        <v>4305</v>
      </c>
      <c r="T29" s="263" t="s">
        <v>4306</v>
      </c>
      <c r="U29" s="263" t="s">
        <v>4307</v>
      </c>
      <c r="V29" s="263" t="s">
        <v>4308</v>
      </c>
      <c r="W29" s="263" t="s">
        <v>4309</v>
      </c>
      <c r="X29" s="263" t="s">
        <v>4310</v>
      </c>
      <c r="Y29" s="263" t="s">
        <v>4311</v>
      </c>
      <c r="Z29" s="263"/>
      <c r="AA29" s="263"/>
    </row>
    <row r="30" spans="2:27" ht="15" hidden="1" customHeight="1" x14ac:dyDescent="0.25">
      <c r="B30" s="259">
        <v>10</v>
      </c>
      <c r="C30" s="264" t="s">
        <v>4196</v>
      </c>
      <c r="D30" s="264"/>
      <c r="E30" s="265"/>
      <c r="F30" s="266"/>
      <c r="G30" s="267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</row>
    <row r="31" spans="2:27" ht="15" hidden="1" customHeight="1" x14ac:dyDescent="0.25">
      <c r="B31" s="259">
        <v>11</v>
      </c>
      <c r="C31" s="264" t="s">
        <v>4314</v>
      </c>
      <c r="D31" s="264"/>
      <c r="E31" s="265" t="s">
        <v>4315</v>
      </c>
      <c r="F31" s="276" t="s">
        <v>4259</v>
      </c>
      <c r="G31" s="269">
        <f>SUM(H31:AA31)</f>
        <v>0</v>
      </c>
      <c r="H31" s="270"/>
      <c r="I31" s="270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</row>
    <row r="32" spans="2:27" ht="15" hidden="1" customHeight="1" x14ac:dyDescent="0.25">
      <c r="B32" s="259">
        <v>12</v>
      </c>
      <c r="C32" s="264" t="s">
        <v>3980</v>
      </c>
      <c r="D32" s="264"/>
      <c r="E32" s="265"/>
      <c r="F32" s="276" t="s">
        <v>4257</v>
      </c>
      <c r="G32" s="269">
        <f>SUM(H32:AA32)</f>
        <v>0</v>
      </c>
      <c r="H32" s="270"/>
      <c r="I32" s="270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</row>
    <row r="33" spans="2:27" ht="15" hidden="1" customHeight="1" x14ac:dyDescent="0.25">
      <c r="B33" s="520">
        <v>13</v>
      </c>
      <c r="C33" s="264" t="s">
        <v>4331</v>
      </c>
      <c r="D33" s="264"/>
      <c r="E33" s="265" t="s">
        <v>4316</v>
      </c>
      <c r="F33" s="276" t="s">
        <v>4206</v>
      </c>
      <c r="G33" s="271">
        <f>SUM(H33:AA33)</f>
        <v>0</v>
      </c>
      <c r="H33" s="272">
        <f>(H31*H32)/1000</f>
        <v>0</v>
      </c>
      <c r="I33" s="272">
        <f t="shared" ref="I33:N33" si="9">(I31*I32)/1000</f>
        <v>0</v>
      </c>
      <c r="J33" s="272">
        <f t="shared" si="9"/>
        <v>0</v>
      </c>
      <c r="K33" s="272">
        <f t="shared" si="9"/>
        <v>0</v>
      </c>
      <c r="L33" s="272">
        <f t="shared" si="9"/>
        <v>0</v>
      </c>
      <c r="M33" s="272">
        <f t="shared" si="9"/>
        <v>0</v>
      </c>
      <c r="N33" s="272">
        <f t="shared" si="9"/>
        <v>0</v>
      </c>
      <c r="O33" s="272">
        <f t="shared" ref="O33:Y33" si="10">(O31*O32)/1000</f>
        <v>0</v>
      </c>
      <c r="P33" s="272">
        <f t="shared" si="10"/>
        <v>0</v>
      </c>
      <c r="Q33" s="272">
        <f t="shared" si="10"/>
        <v>0</v>
      </c>
      <c r="R33" s="272">
        <f t="shared" si="10"/>
        <v>0</v>
      </c>
      <c r="S33" s="272">
        <f t="shared" si="10"/>
        <v>0</v>
      </c>
      <c r="T33" s="272">
        <f t="shared" si="10"/>
        <v>0</v>
      </c>
      <c r="U33" s="272">
        <f t="shared" si="10"/>
        <v>0</v>
      </c>
      <c r="V33" s="272">
        <f t="shared" si="10"/>
        <v>0</v>
      </c>
      <c r="W33" s="272">
        <f t="shared" si="10"/>
        <v>0</v>
      </c>
      <c r="X33" s="272">
        <f t="shared" si="10"/>
        <v>0</v>
      </c>
      <c r="Y33" s="272">
        <f t="shared" si="10"/>
        <v>0</v>
      </c>
      <c r="Z33" s="272"/>
      <c r="AA33" s="272"/>
    </row>
    <row r="34" spans="2:27" ht="15" hidden="1" customHeight="1" x14ac:dyDescent="0.25">
      <c r="B34" s="902">
        <v>14</v>
      </c>
      <c r="C34" s="264" t="s">
        <v>4317</v>
      </c>
      <c r="D34" s="264"/>
      <c r="E34" s="265"/>
      <c r="F34" s="276" t="s">
        <v>4318</v>
      </c>
      <c r="G34" s="271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</row>
    <row r="35" spans="2:27" ht="15" hidden="1" customHeight="1" x14ac:dyDescent="0.25">
      <c r="B35" s="760"/>
      <c r="C35" s="264" t="s">
        <v>4319</v>
      </c>
      <c r="D35" s="264"/>
      <c r="E35" s="265" t="s">
        <v>4316</v>
      </c>
      <c r="F35" s="276" t="s">
        <v>4320</v>
      </c>
      <c r="G35" s="271">
        <f>SUM(H35:AA35)</f>
        <v>0</v>
      </c>
      <c r="H35" s="272">
        <f>H33*H34</f>
        <v>0</v>
      </c>
      <c r="I35" s="272">
        <f t="shared" ref="I35:P35" si="11">I33*I34</f>
        <v>0</v>
      </c>
      <c r="J35" s="272">
        <f t="shared" si="11"/>
        <v>0</v>
      </c>
      <c r="K35" s="272">
        <f t="shared" si="11"/>
        <v>0</v>
      </c>
      <c r="L35" s="272">
        <f t="shared" si="11"/>
        <v>0</v>
      </c>
      <c r="M35" s="272">
        <f t="shared" si="11"/>
        <v>0</v>
      </c>
      <c r="N35" s="272">
        <f t="shared" si="11"/>
        <v>0</v>
      </c>
      <c r="O35" s="272">
        <f t="shared" si="11"/>
        <v>0</v>
      </c>
      <c r="P35" s="272">
        <f t="shared" si="11"/>
        <v>0</v>
      </c>
      <c r="Q35" s="272">
        <f t="shared" ref="Q35:Y35" si="12">Q33*Q34</f>
        <v>0</v>
      </c>
      <c r="R35" s="272">
        <f t="shared" si="12"/>
        <v>0</v>
      </c>
      <c r="S35" s="272">
        <f t="shared" si="12"/>
        <v>0</v>
      </c>
      <c r="T35" s="272">
        <f t="shared" si="12"/>
        <v>0</v>
      </c>
      <c r="U35" s="272">
        <f t="shared" si="12"/>
        <v>0</v>
      </c>
      <c r="V35" s="272">
        <f t="shared" si="12"/>
        <v>0</v>
      </c>
      <c r="W35" s="272">
        <f t="shared" si="12"/>
        <v>0</v>
      </c>
      <c r="X35" s="272">
        <f t="shared" si="12"/>
        <v>0</v>
      </c>
      <c r="Y35" s="272">
        <f t="shared" si="12"/>
        <v>0</v>
      </c>
      <c r="Z35" s="272"/>
      <c r="AA35" s="272"/>
    </row>
    <row r="36" spans="2:27" ht="15" hidden="1" customHeight="1" x14ac:dyDescent="0.25">
      <c r="B36" s="902">
        <v>15</v>
      </c>
      <c r="C36" s="264" t="s">
        <v>4321</v>
      </c>
      <c r="D36" s="264"/>
      <c r="E36" s="273" t="s">
        <v>4208</v>
      </c>
      <c r="F36" s="276"/>
      <c r="G36" s="274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</row>
    <row r="37" spans="2:27" ht="15" hidden="1" customHeight="1" x14ac:dyDescent="0.25">
      <c r="B37" s="758"/>
      <c r="C37" s="275" t="s">
        <v>4209</v>
      </c>
      <c r="D37" s="275"/>
      <c r="E37" s="552" t="s">
        <v>4210</v>
      </c>
      <c r="F37" s="276"/>
      <c r="G37" s="274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</row>
    <row r="38" spans="2:27" ht="15" hidden="1" customHeight="1" x14ac:dyDescent="0.25">
      <c r="B38" s="760"/>
      <c r="C38" s="264" t="s">
        <v>4211</v>
      </c>
      <c r="D38" s="264"/>
      <c r="E38" s="265" t="s">
        <v>4212</v>
      </c>
      <c r="F38" s="276" t="s">
        <v>4213</v>
      </c>
      <c r="G38" s="274" t="str">
        <f>IF(COUNTA(H38:AA38)=0,"",IF(OR(LARGE(H38:AA38,1)&gt;8760,SMALL(H38:AA38,1)&lt;0),"ERRO",""))</f>
        <v/>
      </c>
      <c r="H38" s="272">
        <f>H36*H37</f>
        <v>0</v>
      </c>
      <c r="I38" s="272">
        <f t="shared" ref="I38:O38" si="13">I36*I37</f>
        <v>0</v>
      </c>
      <c r="J38" s="272">
        <f t="shared" si="13"/>
        <v>0</v>
      </c>
      <c r="K38" s="272">
        <f t="shared" si="13"/>
        <v>0</v>
      </c>
      <c r="L38" s="272">
        <f t="shared" si="13"/>
        <v>0</v>
      </c>
      <c r="M38" s="272">
        <f t="shared" si="13"/>
        <v>0</v>
      </c>
      <c r="N38" s="272">
        <f t="shared" si="13"/>
        <v>0</v>
      </c>
      <c r="O38" s="272">
        <f t="shared" si="13"/>
        <v>0</v>
      </c>
      <c r="P38" s="272">
        <f t="shared" ref="P38:Y38" si="14">P36*P37</f>
        <v>0</v>
      </c>
      <c r="Q38" s="272">
        <f t="shared" si="14"/>
        <v>0</v>
      </c>
      <c r="R38" s="272">
        <f t="shared" si="14"/>
        <v>0</v>
      </c>
      <c r="S38" s="272">
        <f t="shared" si="14"/>
        <v>0</v>
      </c>
      <c r="T38" s="272">
        <f t="shared" si="14"/>
        <v>0</v>
      </c>
      <c r="U38" s="272">
        <f t="shared" si="14"/>
        <v>0</v>
      </c>
      <c r="V38" s="272">
        <f t="shared" si="14"/>
        <v>0</v>
      </c>
      <c r="W38" s="272">
        <f t="shared" si="14"/>
        <v>0</v>
      </c>
      <c r="X38" s="272">
        <f t="shared" si="14"/>
        <v>0</v>
      </c>
      <c r="Y38" s="272">
        <f t="shared" si="14"/>
        <v>0</v>
      </c>
      <c r="Z38" s="272"/>
      <c r="AA38" s="272"/>
    </row>
    <row r="39" spans="2:27" ht="15" hidden="1" customHeight="1" x14ac:dyDescent="0.25">
      <c r="B39" s="259">
        <v>16</v>
      </c>
      <c r="C39" s="264" t="s">
        <v>4322</v>
      </c>
      <c r="D39" s="264"/>
      <c r="E39" s="265" t="s">
        <v>3854</v>
      </c>
      <c r="F39" s="276" t="s">
        <v>4227</v>
      </c>
      <c r="G39" s="271">
        <f>SUM(H39:AA39)</f>
        <v>0</v>
      </c>
      <c r="H39" s="277">
        <f t="shared" ref="H39:Y39" si="15">(H35*H38)/1000</f>
        <v>0</v>
      </c>
      <c r="I39" s="277">
        <f t="shared" si="15"/>
        <v>0</v>
      </c>
      <c r="J39" s="277">
        <f t="shared" si="15"/>
        <v>0</v>
      </c>
      <c r="K39" s="277">
        <f t="shared" si="15"/>
        <v>0</v>
      </c>
      <c r="L39" s="277">
        <f t="shared" si="15"/>
        <v>0</v>
      </c>
      <c r="M39" s="277">
        <f t="shared" si="15"/>
        <v>0</v>
      </c>
      <c r="N39" s="277">
        <f t="shared" si="15"/>
        <v>0</v>
      </c>
      <c r="O39" s="277">
        <f t="shared" si="15"/>
        <v>0</v>
      </c>
      <c r="P39" s="277">
        <f t="shared" si="15"/>
        <v>0</v>
      </c>
      <c r="Q39" s="277">
        <f t="shared" si="15"/>
        <v>0</v>
      </c>
      <c r="R39" s="277">
        <f t="shared" si="15"/>
        <v>0</v>
      </c>
      <c r="S39" s="277">
        <f t="shared" si="15"/>
        <v>0</v>
      </c>
      <c r="T39" s="277">
        <f t="shared" si="15"/>
        <v>0</v>
      </c>
      <c r="U39" s="277">
        <f t="shared" si="15"/>
        <v>0</v>
      </c>
      <c r="V39" s="277">
        <f t="shared" si="15"/>
        <v>0</v>
      </c>
      <c r="W39" s="277">
        <f t="shared" si="15"/>
        <v>0</v>
      </c>
      <c r="X39" s="277">
        <f t="shared" si="15"/>
        <v>0</v>
      </c>
      <c r="Y39" s="277">
        <f t="shared" si="15"/>
        <v>0</v>
      </c>
      <c r="Z39" s="277"/>
      <c r="AA39" s="277"/>
    </row>
    <row r="40" spans="2:27" ht="15" hidden="1" customHeight="1" x14ac:dyDescent="0.25">
      <c r="B40" s="259">
        <v>17</v>
      </c>
      <c r="C40" s="264" t="s">
        <v>4332</v>
      </c>
      <c r="D40" s="264"/>
      <c r="E40" s="265" t="s">
        <v>3912</v>
      </c>
      <c r="F40" s="276" t="s">
        <v>4261</v>
      </c>
      <c r="G40" s="278">
        <f t="shared" ref="G40:Y40" si="16">IF(OR(G15=0,G39=0),0,(G39-G15)/G15)</f>
        <v>0</v>
      </c>
      <c r="H40" s="279">
        <f t="shared" si="16"/>
        <v>0</v>
      </c>
      <c r="I40" s="279">
        <f t="shared" si="16"/>
        <v>0</v>
      </c>
      <c r="J40" s="279">
        <f t="shared" si="16"/>
        <v>0</v>
      </c>
      <c r="K40" s="279">
        <f t="shared" si="16"/>
        <v>0</v>
      </c>
      <c r="L40" s="279">
        <f t="shared" si="16"/>
        <v>0</v>
      </c>
      <c r="M40" s="279">
        <f t="shared" si="16"/>
        <v>0</v>
      </c>
      <c r="N40" s="279">
        <f t="shared" si="16"/>
        <v>0</v>
      </c>
      <c r="O40" s="279">
        <f t="shared" si="16"/>
        <v>0</v>
      </c>
      <c r="P40" s="279">
        <f t="shared" si="16"/>
        <v>0</v>
      </c>
      <c r="Q40" s="279">
        <f t="shared" si="16"/>
        <v>0</v>
      </c>
      <c r="R40" s="279">
        <f t="shared" si="16"/>
        <v>0</v>
      </c>
      <c r="S40" s="279">
        <f t="shared" si="16"/>
        <v>0</v>
      </c>
      <c r="T40" s="279">
        <f t="shared" si="16"/>
        <v>0</v>
      </c>
      <c r="U40" s="279">
        <f t="shared" si="16"/>
        <v>0</v>
      </c>
      <c r="V40" s="279">
        <f t="shared" si="16"/>
        <v>0</v>
      </c>
      <c r="W40" s="279">
        <f t="shared" si="16"/>
        <v>0</v>
      </c>
      <c r="X40" s="279">
        <f t="shared" si="16"/>
        <v>0</v>
      </c>
      <c r="Y40" s="279">
        <f t="shared" si="16"/>
        <v>0</v>
      </c>
      <c r="Z40" s="279"/>
      <c r="AA40" s="279"/>
    </row>
    <row r="41" spans="2:27" ht="15" hidden="1" customHeight="1" x14ac:dyDescent="0.25"/>
    <row r="42" spans="2:27" ht="15" hidden="1" customHeight="1" x14ac:dyDescent="0.25"/>
    <row r="43" spans="2:27" ht="15" hidden="1" customHeight="1" x14ac:dyDescent="0.25">
      <c r="B43" s="826" t="s">
        <v>4333</v>
      </c>
      <c r="C43" s="826"/>
      <c r="D43" s="826"/>
      <c r="E43" s="826"/>
      <c r="F43" s="826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</row>
    <row r="44" spans="2:27" s="103" customFormat="1" ht="15" hidden="1" customHeight="1" x14ac:dyDescent="0.25">
      <c r="B44" s="259"/>
      <c r="C44" s="260"/>
      <c r="D44" s="260"/>
      <c r="E44" s="260"/>
      <c r="F44" s="261"/>
      <c r="G44" s="262" t="s">
        <v>76</v>
      </c>
      <c r="H44" s="263" t="s">
        <v>4294</v>
      </c>
      <c r="I44" s="263" t="s">
        <v>4295</v>
      </c>
      <c r="J44" s="263" t="s">
        <v>4296</v>
      </c>
      <c r="K44" s="263" t="s">
        <v>4297</v>
      </c>
      <c r="L44" s="263" t="s">
        <v>4298</v>
      </c>
      <c r="M44" s="263" t="s">
        <v>4299</v>
      </c>
      <c r="N44" s="263" t="s">
        <v>4300</v>
      </c>
      <c r="O44" s="263" t="s">
        <v>4301</v>
      </c>
      <c r="P44" s="263" t="s">
        <v>4302</v>
      </c>
      <c r="Q44" s="263" t="s">
        <v>4303</v>
      </c>
      <c r="R44" s="263" t="s">
        <v>4304</v>
      </c>
      <c r="S44" s="263" t="s">
        <v>4305</v>
      </c>
      <c r="T44" s="263" t="s">
        <v>4306</v>
      </c>
      <c r="U44" s="263" t="s">
        <v>4307</v>
      </c>
      <c r="V44" s="263" t="s">
        <v>4308</v>
      </c>
      <c r="W44" s="263" t="s">
        <v>4309</v>
      </c>
      <c r="X44" s="263" t="s">
        <v>4310</v>
      </c>
      <c r="Y44" s="263" t="s">
        <v>4311</v>
      </c>
      <c r="Z44" s="263"/>
      <c r="AA44" s="263"/>
    </row>
    <row r="45" spans="2:27" ht="15" hidden="1" customHeight="1" x14ac:dyDescent="0.25">
      <c r="B45" s="259">
        <v>18</v>
      </c>
      <c r="C45" s="280" t="s">
        <v>3900</v>
      </c>
      <c r="D45" s="280"/>
      <c r="E45" s="551" t="s">
        <v>3854</v>
      </c>
      <c r="F45" s="276" t="s">
        <v>4246</v>
      </c>
      <c r="G45" s="271">
        <f>SUM(H45:AA45)</f>
        <v>0</v>
      </c>
      <c r="H45" s="272">
        <f>H39</f>
        <v>0</v>
      </c>
      <c r="I45" s="272">
        <f t="shared" ref="I45:Y45" si="17">I39</f>
        <v>0</v>
      </c>
      <c r="J45" s="272">
        <f t="shared" si="17"/>
        <v>0</v>
      </c>
      <c r="K45" s="272">
        <f t="shared" si="17"/>
        <v>0</v>
      </c>
      <c r="L45" s="272">
        <f t="shared" si="17"/>
        <v>0</v>
      </c>
      <c r="M45" s="272">
        <f t="shared" si="17"/>
        <v>0</v>
      </c>
      <c r="N45" s="272">
        <f t="shared" si="17"/>
        <v>0</v>
      </c>
      <c r="O45" s="272">
        <f t="shared" si="17"/>
        <v>0</v>
      </c>
      <c r="P45" s="272">
        <f t="shared" si="17"/>
        <v>0</v>
      </c>
      <c r="Q45" s="272">
        <f t="shared" si="17"/>
        <v>0</v>
      </c>
      <c r="R45" s="272">
        <f t="shared" si="17"/>
        <v>0</v>
      </c>
      <c r="S45" s="272">
        <f t="shared" si="17"/>
        <v>0</v>
      </c>
      <c r="T45" s="272">
        <f t="shared" si="17"/>
        <v>0</v>
      </c>
      <c r="U45" s="272">
        <f t="shared" si="17"/>
        <v>0</v>
      </c>
      <c r="V45" s="272">
        <f t="shared" si="17"/>
        <v>0</v>
      </c>
      <c r="W45" s="272">
        <f t="shared" si="17"/>
        <v>0</v>
      </c>
      <c r="X45" s="272">
        <f t="shared" si="17"/>
        <v>0</v>
      </c>
      <c r="Y45" s="272">
        <f t="shared" si="17"/>
        <v>0</v>
      </c>
      <c r="Z45" s="272"/>
      <c r="AA45" s="272"/>
    </row>
    <row r="46" spans="2:27" ht="15" hidden="1" customHeight="1" x14ac:dyDescent="0.25">
      <c r="B46" s="259">
        <v>19</v>
      </c>
      <c r="C46" s="281" t="s">
        <v>4247</v>
      </c>
      <c r="D46" s="282">
        <f>D21</f>
        <v>0</v>
      </c>
      <c r="E46" s="552" t="s">
        <v>3912</v>
      </c>
      <c r="F46" s="276" t="s">
        <v>4248</v>
      </c>
      <c r="G46" s="283">
        <f t="shared" ref="G46:Y46" si="18">IF(G39=0,0,G45/G39)</f>
        <v>0</v>
      </c>
      <c r="H46" s="279">
        <f t="shared" si="18"/>
        <v>0</v>
      </c>
      <c r="I46" s="279">
        <f t="shared" si="18"/>
        <v>0</v>
      </c>
      <c r="J46" s="279">
        <f t="shared" si="18"/>
        <v>0</v>
      </c>
      <c r="K46" s="279">
        <f t="shared" si="18"/>
        <v>0</v>
      </c>
      <c r="L46" s="279">
        <f t="shared" si="18"/>
        <v>0</v>
      </c>
      <c r="M46" s="279">
        <f t="shared" si="18"/>
        <v>0</v>
      </c>
      <c r="N46" s="279">
        <f t="shared" si="18"/>
        <v>0</v>
      </c>
      <c r="O46" s="279">
        <f t="shared" si="18"/>
        <v>0</v>
      </c>
      <c r="P46" s="279">
        <f t="shared" si="18"/>
        <v>0</v>
      </c>
      <c r="Q46" s="279">
        <f t="shared" si="18"/>
        <v>0</v>
      </c>
      <c r="R46" s="279">
        <f t="shared" si="18"/>
        <v>0</v>
      </c>
      <c r="S46" s="279">
        <f t="shared" si="18"/>
        <v>0</v>
      </c>
      <c r="T46" s="279">
        <f t="shared" si="18"/>
        <v>0</v>
      </c>
      <c r="U46" s="279">
        <f t="shared" si="18"/>
        <v>0</v>
      </c>
      <c r="V46" s="279">
        <f t="shared" si="18"/>
        <v>0</v>
      </c>
      <c r="W46" s="279">
        <f t="shared" si="18"/>
        <v>0</v>
      </c>
      <c r="X46" s="279">
        <f t="shared" si="18"/>
        <v>0</v>
      </c>
      <c r="Y46" s="279">
        <f t="shared" si="18"/>
        <v>0</v>
      </c>
      <c r="Z46" s="279"/>
      <c r="AA46" s="279"/>
    </row>
    <row r="47" spans="2:27" ht="15" hidden="1" customHeight="1" x14ac:dyDescent="0.25">
      <c r="B47" s="284"/>
      <c r="C47" s="285" t="s">
        <v>4334</v>
      </c>
      <c r="D47" s="285"/>
      <c r="E47" s="537" t="s">
        <v>3911</v>
      </c>
      <c r="F47" s="286" t="s">
        <v>4325</v>
      </c>
      <c r="G47" s="287">
        <f>SUM(H47:AA47)</f>
        <v>0</v>
      </c>
      <c r="H47" s="288">
        <f>H45*$D$46</f>
        <v>0</v>
      </c>
      <c r="I47" s="288">
        <f t="shared" ref="I47:Y47" si="19">I45*$D$46</f>
        <v>0</v>
      </c>
      <c r="J47" s="288">
        <f t="shared" si="19"/>
        <v>0</v>
      </c>
      <c r="K47" s="288">
        <f t="shared" si="19"/>
        <v>0</v>
      </c>
      <c r="L47" s="288">
        <f>L45*$D$46</f>
        <v>0</v>
      </c>
      <c r="M47" s="288">
        <f t="shared" si="19"/>
        <v>0</v>
      </c>
      <c r="N47" s="288">
        <f t="shared" si="19"/>
        <v>0</v>
      </c>
      <c r="O47" s="288">
        <f t="shared" si="19"/>
        <v>0</v>
      </c>
      <c r="P47" s="288">
        <f t="shared" si="19"/>
        <v>0</v>
      </c>
      <c r="Q47" s="288">
        <f t="shared" si="19"/>
        <v>0</v>
      </c>
      <c r="R47" s="288">
        <f t="shared" si="19"/>
        <v>0</v>
      </c>
      <c r="S47" s="288">
        <f t="shared" si="19"/>
        <v>0</v>
      </c>
      <c r="T47" s="288">
        <f t="shared" si="19"/>
        <v>0</v>
      </c>
      <c r="U47" s="288">
        <f t="shared" si="19"/>
        <v>0</v>
      </c>
      <c r="V47" s="288">
        <f t="shared" si="19"/>
        <v>0</v>
      </c>
      <c r="W47" s="288">
        <f t="shared" si="19"/>
        <v>0</v>
      </c>
      <c r="X47" s="288">
        <f t="shared" si="19"/>
        <v>0</v>
      </c>
      <c r="Y47" s="288">
        <f t="shared" si="19"/>
        <v>0</v>
      </c>
      <c r="Z47" s="288"/>
      <c r="AA47" s="288"/>
    </row>
    <row r="48" spans="2:27" ht="15" hidden="1" customHeight="1" x14ac:dyDescent="0.25">
      <c r="H48" s="289"/>
      <c r="I48" s="289"/>
    </row>
    <row r="49" spans="2:27" ht="15" hidden="1" customHeight="1" x14ac:dyDescent="0.35">
      <c r="E49" s="213" t="s">
        <v>4328</v>
      </c>
      <c r="F49" s="214"/>
      <c r="G49" s="215">
        <f>RCB!$G$35</f>
        <v>0</v>
      </c>
      <c r="H49" s="289"/>
      <c r="I49" s="213" t="s">
        <v>4329</v>
      </c>
      <c r="J49" s="214"/>
      <c r="K49" s="215">
        <f>RCB!$J$35</f>
        <v>0</v>
      </c>
    </row>
    <row r="50" spans="2:27" ht="15" hidden="1" customHeight="1" x14ac:dyDescent="0.35">
      <c r="E50" s="213" t="s">
        <v>4074</v>
      </c>
      <c r="F50" s="214"/>
      <c r="G50" s="215">
        <f>RCB!$H$30</f>
        <v>0</v>
      </c>
      <c r="H50" s="289"/>
      <c r="I50" s="213" t="s">
        <v>4075</v>
      </c>
      <c r="J50" s="214"/>
      <c r="K50" s="215">
        <f>RCB!$K$30</f>
        <v>0</v>
      </c>
    </row>
    <row r="52" spans="2:27" ht="15" hidden="1" customHeight="1" x14ac:dyDescent="0.25">
      <c r="E52" s="76"/>
      <c r="F52" s="76"/>
    </row>
    <row r="53" spans="2:27" ht="15" customHeight="1" x14ac:dyDescent="0.25">
      <c r="B53" s="779"/>
      <c r="C53" s="779"/>
      <c r="D53" s="779"/>
      <c r="E53" s="779"/>
      <c r="F53" s="779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</row>
    <row r="54" spans="2:27" ht="15" customHeight="1" x14ac:dyDescent="0.25">
      <c r="B54" s="230"/>
      <c r="C54" s="225"/>
      <c r="D54" s="225"/>
      <c r="E54" s="225"/>
      <c r="F54" s="299"/>
      <c r="G54" s="418" t="s">
        <v>76</v>
      </c>
      <c r="H54" s="224" t="str">
        <f t="shared" ref="H54:AA54" si="20">IF(H4="","",H4)</f>
        <v/>
      </c>
      <c r="I54" s="224" t="str">
        <f t="shared" si="20"/>
        <v/>
      </c>
      <c r="J54" s="224" t="str">
        <f t="shared" si="20"/>
        <v/>
      </c>
      <c r="K54" s="224" t="str">
        <f t="shared" si="20"/>
        <v/>
      </c>
      <c r="L54" s="224" t="str">
        <f t="shared" si="20"/>
        <v/>
      </c>
      <c r="M54" s="224" t="str">
        <f t="shared" si="20"/>
        <v/>
      </c>
      <c r="N54" s="224" t="str">
        <f t="shared" si="20"/>
        <v/>
      </c>
      <c r="O54" s="224" t="str">
        <f t="shared" si="20"/>
        <v/>
      </c>
      <c r="P54" s="224" t="str">
        <f t="shared" si="20"/>
        <v/>
      </c>
      <c r="Q54" s="224" t="str">
        <f t="shared" si="20"/>
        <v/>
      </c>
      <c r="R54" s="224" t="str">
        <f t="shared" si="20"/>
        <v/>
      </c>
      <c r="S54" s="224" t="str">
        <f t="shared" si="20"/>
        <v/>
      </c>
      <c r="T54" s="224" t="str">
        <f t="shared" si="20"/>
        <v/>
      </c>
      <c r="U54" s="224" t="str">
        <f t="shared" si="20"/>
        <v/>
      </c>
      <c r="V54" s="224" t="str">
        <f t="shared" si="20"/>
        <v/>
      </c>
      <c r="W54" s="224" t="str">
        <f t="shared" si="20"/>
        <v/>
      </c>
      <c r="X54" s="224" t="str">
        <f t="shared" si="20"/>
        <v/>
      </c>
      <c r="Y54" s="224" t="str">
        <f t="shared" si="20"/>
        <v/>
      </c>
      <c r="Z54" s="224" t="str">
        <f t="shared" si="20"/>
        <v/>
      </c>
      <c r="AA54" s="224" t="str">
        <f t="shared" si="20"/>
        <v/>
      </c>
    </row>
    <row r="55" spans="2:27" ht="15" customHeight="1" x14ac:dyDescent="0.25">
      <c r="B55" s="189">
        <v>14</v>
      </c>
      <c r="C55" s="190" t="s">
        <v>5091</v>
      </c>
      <c r="D55" s="225"/>
      <c r="E55" s="225"/>
      <c r="F55" s="545" t="s">
        <v>3854</v>
      </c>
      <c r="G55" s="441">
        <f>SUM(H55:AA55)</f>
        <v>0</v>
      </c>
      <c r="H55" s="473">
        <f>IFERROR(VLOOKUP(H$4,'Referencias UC'!$A$2:$C$21,3,FALSE),"")</f>
        <v>0</v>
      </c>
      <c r="I55" s="473">
        <f>IFERROR(VLOOKUP(I$4,'Referencias UC'!$A$2:$C$21,3,FALSE),"")</f>
        <v>0</v>
      </c>
      <c r="J55" s="473">
        <f>IFERROR(VLOOKUP(J$4,'Referencias UC'!$A$2:$C$21,3,FALSE),"")</f>
        <v>0</v>
      </c>
      <c r="K55" s="473">
        <f>IFERROR(VLOOKUP(K$4,'Referencias UC'!$A$2:$C$21,3,FALSE),"")</f>
        <v>0</v>
      </c>
      <c r="L55" s="473">
        <f>IFERROR(VLOOKUP(L$4,'Referencias UC'!$A$2:$C$21,3,FALSE),"")</f>
        <v>0</v>
      </c>
      <c r="M55" s="473">
        <f>IFERROR(VLOOKUP(M$4,'Referencias UC'!$A$2:$C$21,3,FALSE),"")</f>
        <v>0</v>
      </c>
      <c r="N55" s="473">
        <f>IFERROR(VLOOKUP(N$4,'Referencias UC'!$A$2:$C$21,3,FALSE),"")</f>
        <v>0</v>
      </c>
      <c r="O55" s="473">
        <f>IFERROR(VLOOKUP(O$4,'Referencias UC'!$A$2:$C$21,3,FALSE),"")</f>
        <v>0</v>
      </c>
      <c r="P55" s="473">
        <f>IFERROR(VLOOKUP(P$4,'Referencias UC'!$A$2:$C$21,3,FALSE),"")</f>
        <v>0</v>
      </c>
      <c r="Q55" s="473">
        <f>IFERROR(VLOOKUP(Q$4,'Referencias UC'!$A$2:$C$21,3,FALSE),"")</f>
        <v>0</v>
      </c>
      <c r="R55" s="473">
        <f>IFERROR(VLOOKUP(R$4,'Referencias UC'!$A$2:$C$21,3,FALSE),"")</f>
        <v>0</v>
      </c>
      <c r="S55" s="473">
        <f>IFERROR(VLOOKUP(S$4,'Referencias UC'!$A$2:$C$21,3,FALSE),"")</f>
        <v>0</v>
      </c>
      <c r="T55" s="473">
        <f>IFERROR(VLOOKUP(T$4,'Referencias UC'!$A$2:$C$21,3,FALSE),"")</f>
        <v>0</v>
      </c>
      <c r="U55" s="473">
        <f>IFERROR(VLOOKUP(U$4,'Referencias UC'!$A$2:$C$21,3,FALSE),"")</f>
        <v>0</v>
      </c>
      <c r="V55" s="473">
        <f>IFERROR(VLOOKUP(V$4,'Referencias UC'!$A$2:$C$21,3,FALSE),"")</f>
        <v>0</v>
      </c>
      <c r="W55" s="473">
        <f>IFERROR(VLOOKUP(W$4,'Referencias UC'!$A$2:$C$21,3,FALSE),"")</f>
        <v>0</v>
      </c>
      <c r="X55" s="473">
        <f>IFERROR(VLOOKUP(X$4,'Referencias UC'!$A$2:$C$21,3,FALSE),"")</f>
        <v>0</v>
      </c>
      <c r="Y55" s="473">
        <f>IFERROR(VLOOKUP(Y$4,'Referencias UC'!$A$2:$C$21,3,FALSE),"")</f>
        <v>0</v>
      </c>
      <c r="Z55" s="473">
        <f>IFERROR(VLOOKUP(Z$4,'Referencias UC'!$A$2:$C$21,3,FALSE),"")</f>
        <v>0</v>
      </c>
      <c r="AA55" s="494">
        <f>IFERROR(VLOOKUP(AA$4,'Referencias UC'!$A$2:$C$21,3,FALSE),"")</f>
        <v>0</v>
      </c>
    </row>
    <row r="56" spans="2:27" ht="15" customHeight="1" x14ac:dyDescent="0.25">
      <c r="B56" s="189">
        <v>15</v>
      </c>
      <c r="C56" s="190" t="s">
        <v>5092</v>
      </c>
      <c r="D56" s="225"/>
      <c r="E56" s="225"/>
      <c r="F56" s="545" t="s">
        <v>3854</v>
      </c>
      <c r="G56" s="420">
        <f>SUM(H56:AA56)</f>
        <v>0</v>
      </c>
      <c r="H56" s="473">
        <f>SUMIFS(IlumBenef!H44:DC44,IlumBenef!H24:DC24,H4)+SUMIFS(MotorBenef!H49:DC49,MotorBenef!H26:DC26,H4)+SUMIFS(CondAmbBenef!H48:DC48,CondAmbBenef!H25:DC25,H4)+SUMIFS(RefrigBenef!H44:DC44,RefrigBenef!H23:DC23,H4)+SUMIFS(OutrosBenef!H46:DC46,OutrosBenef!H24:DC24,H4)+SUMIFS(Solar[Energia],Solar[UC],H4)</f>
        <v>0</v>
      </c>
      <c r="I56" s="473">
        <f>SUMIFS(IlumBenef!$H$44:$DC$44,IlumBenef!$H$24:$DC$24,I4)+SUMIFS(MotorBenef!$H$49:$DC$49,MotorBenef!$H$26:$DC$26,I4)+SUMIFS(CondAmbBenef!$H$48:$DC$48,CondAmbBenef!$H$25:$DC$25,I4)+SUMIFS(RefrigBenef!$H$44:$DC$44,RefrigBenef!$H$23:$DC$23,I4)+SUMIFS(OutrosBenef!$H$46:$DC$46,OutrosBenef!$H$24:$DC$24,I4)+SUMIFS(Solar[Energia],Solar[UC],I4)</f>
        <v>0</v>
      </c>
      <c r="J56" s="473">
        <f>SUMIFS(IlumBenef!$H$44:$DC$44,IlumBenef!$H$24:$DC$24,J4)+SUMIFS(MotorBenef!$H$49:$DC$49,MotorBenef!$H$26:$DC$26,J4)+SUMIFS(CondAmbBenef!$H$48:$DC$48,CondAmbBenef!$H$25:$DC$25,J4)+SUMIFS(RefrigBenef!$H$44:$DC$44,RefrigBenef!$H$23:$DC$23,J4)+SUMIFS(OutrosBenef!$H$46:$DC$46,OutrosBenef!$H$24:$DC$24,J4)+SUMIFS(Solar[Energia],Solar[UC],J4)</f>
        <v>0</v>
      </c>
      <c r="K56" s="473">
        <f>SUMIFS(IlumBenef!$H$44:$DC$44,IlumBenef!$H$24:$DC$24,K4)+SUMIFS(MotorBenef!$H$49:$DC$49,MotorBenef!$H$26:$DC$26,K4)+SUMIFS(CondAmbBenef!$H$48:$DC$48,CondAmbBenef!$H$25:$DC$25,K4)+SUMIFS(RefrigBenef!$H$44:$DC$44,RefrigBenef!$H$23:$DC$23,K4)+SUMIFS(OutrosBenef!$H$46:$DC$46,OutrosBenef!$H$24:$DC$24,K4)+SUMIFS(Solar[Energia],Solar[UC],K4)</f>
        <v>0</v>
      </c>
      <c r="L56" s="473">
        <f>SUMIFS(IlumBenef!$H$44:$DC$44,IlumBenef!$H$24:$DC$24,L4)+SUMIFS(MotorBenef!$H$49:$DC$49,MotorBenef!$H$26:$DC$26,L4)+SUMIFS(CondAmbBenef!$H$48:$DC$48,CondAmbBenef!$H$25:$DC$25,L4)+SUMIFS(RefrigBenef!$H$44:$DC$44,RefrigBenef!$H$23:$DC$23,L4)+SUMIFS(OutrosBenef!$H$46:$DC$46,OutrosBenef!$H$24:$DC$24,L4)+SUMIFS(Solar[Energia],Solar[UC],L4)</f>
        <v>0</v>
      </c>
      <c r="M56" s="473">
        <f>SUMIFS(IlumBenef!$H$44:$DC$44,IlumBenef!$H$24:$DC$24,M4)+SUMIFS(MotorBenef!$H$49:$DC$49,MotorBenef!$H$26:$DC$26,M4)+SUMIFS(CondAmbBenef!$H$48:$DC$48,CondAmbBenef!$H$25:$DC$25,M4)+SUMIFS(RefrigBenef!$H$44:$DC$44,RefrigBenef!$H$23:$DC$23,M4)+SUMIFS(OutrosBenef!$H$46:$DC$46,OutrosBenef!$H$24:$DC$24,M4)+SUMIFS(Solar[Energia],Solar[UC],M4)</f>
        <v>0</v>
      </c>
      <c r="N56" s="473">
        <f>SUMIFS(IlumBenef!$H$44:$DC$44,IlumBenef!$H$24:$DC$24,N4)+SUMIFS(MotorBenef!$H$49:$DC$49,MotorBenef!$H$26:$DC$26,N4)+SUMIFS(CondAmbBenef!$H$48:$DC$48,CondAmbBenef!$H$25:$DC$25,N4)+SUMIFS(RefrigBenef!$H$44:$DC$44,RefrigBenef!$H$23:$DC$23,N4)+SUMIFS(OutrosBenef!$H$46:$DC$46,OutrosBenef!$H$24:$DC$24,N4)+SUMIFS(Solar[Energia],Solar[UC],N4)</f>
        <v>0</v>
      </c>
      <c r="O56" s="473">
        <f>SUMIFS(IlumBenef!$H$44:$DC$44,IlumBenef!$H$24:$DC$24,O4)+SUMIFS(MotorBenef!$H$49:$DC$49,MotorBenef!$H$26:$DC$26,O4)+SUMIFS(CondAmbBenef!$H$48:$DC$48,CondAmbBenef!$H$25:$DC$25,O4)+SUMIFS(RefrigBenef!$H$44:$DC$44,RefrigBenef!$H$23:$DC$23,O4)+SUMIFS(OutrosBenef!$H$46:$DC$46,OutrosBenef!$H$24:$DC$24,O4)+SUMIFS(Solar[Energia],Solar[UC],O4)</f>
        <v>0</v>
      </c>
      <c r="P56" s="473">
        <f>SUMIFS(IlumBenef!$H$44:$DC$44,IlumBenef!$H$24:$DC$24,P4)+SUMIFS(MotorBenef!$H$49:$DC$49,MotorBenef!$H$26:$DC$26,P4)+SUMIFS(CondAmbBenef!$H$48:$DC$48,CondAmbBenef!$H$25:$DC$25,P4)+SUMIFS(RefrigBenef!$H$44:$DC$44,RefrigBenef!$H$23:$DC$23,P4)+SUMIFS(OutrosBenef!$H$46:$DC$46,OutrosBenef!$H$24:$DC$24,P4)+SUMIFS(Solar[Energia],Solar[UC],P4)</f>
        <v>0</v>
      </c>
      <c r="Q56" s="473">
        <f>SUMIFS(IlumBenef!$H$44:$DC$44,IlumBenef!$H$24:$DC$24,Q4)+SUMIFS(MotorBenef!$H$49:$DC$49,MotorBenef!$H$26:$DC$26,Q4)+SUMIFS(CondAmbBenef!$H$48:$DC$48,CondAmbBenef!$H$25:$DC$25,Q4)+SUMIFS(RefrigBenef!$H$44:$DC$44,RefrigBenef!$H$23:$DC$23,Q4)+SUMIFS(OutrosBenef!$H$46:$DC$46,OutrosBenef!$H$24:$DC$24,Q4)+SUMIFS(Solar[Energia],Solar[UC],Q4)</f>
        <v>0</v>
      </c>
      <c r="R56" s="473">
        <f>SUMIFS(IlumBenef!$H$44:$DC$44,IlumBenef!$H$24:$DC$24,R4)+SUMIFS(MotorBenef!$H$49:$DC$49,MotorBenef!$H$26:$DC$26,R4)+SUMIFS(CondAmbBenef!$H$48:$DC$48,CondAmbBenef!$H$25:$DC$25,R4)+SUMIFS(RefrigBenef!$H$44:$DC$44,RefrigBenef!$H$23:$DC$23,R4)+SUMIFS(OutrosBenef!$H$46:$DC$46,OutrosBenef!$H$24:$DC$24,R4)+SUMIFS(Solar[Energia],Solar[UC],R4)</f>
        <v>0</v>
      </c>
      <c r="S56" s="473">
        <f>SUMIFS(IlumBenef!$H$44:$DC$44,IlumBenef!$H$24:$DC$24,S4)+SUMIFS(MotorBenef!$H$49:$DC$49,MotorBenef!$H$26:$DC$26,S4)+SUMIFS(CondAmbBenef!$H$48:$DC$48,CondAmbBenef!$H$25:$DC$25,S4)+SUMIFS(RefrigBenef!$H$44:$DC$44,RefrigBenef!$H$23:$DC$23,S4)+SUMIFS(OutrosBenef!$H$46:$DC$46,OutrosBenef!$H$24:$DC$24,S4)+SUMIFS(Solar[Energia],Solar[UC],S4)</f>
        <v>0</v>
      </c>
      <c r="T56" s="473">
        <f>SUMIFS(IlumBenef!$H$44:$DC$44,IlumBenef!$H$24:$DC$24,T4)+SUMIFS(MotorBenef!$H$49:$DC$49,MotorBenef!$H$26:$DC$26,T4)+SUMIFS(CondAmbBenef!$H$48:$DC$48,CondAmbBenef!$H$25:$DC$25,T4)+SUMIFS(RefrigBenef!$H$44:$DC$44,RefrigBenef!$H$23:$DC$23,T4)+SUMIFS(OutrosBenef!$H$46:$DC$46,OutrosBenef!$H$24:$DC$24,T4)+SUMIFS(Solar[Energia],Solar[UC],T4)</f>
        <v>0</v>
      </c>
      <c r="U56" s="473">
        <f>SUMIFS(IlumBenef!$H$44:$DC$44,IlumBenef!$H$24:$DC$24,U4)+SUMIFS(MotorBenef!$H$49:$DC$49,MotorBenef!$H$26:$DC$26,U4)+SUMIFS(CondAmbBenef!$H$48:$DC$48,CondAmbBenef!$H$25:$DC$25,U4)+SUMIFS(RefrigBenef!$H$44:$DC$44,RefrigBenef!$H$23:$DC$23,U4)+SUMIFS(OutrosBenef!$H$46:$DC$46,OutrosBenef!$H$24:$DC$24,U4)+SUMIFS(Solar[Energia],Solar[UC],U4)</f>
        <v>0</v>
      </c>
      <c r="V56" s="473">
        <f>SUMIFS(IlumBenef!$H$44:$DC$44,IlumBenef!$H$24:$DC$24,V4)+SUMIFS(MotorBenef!$H$49:$DC$49,MotorBenef!$H$26:$DC$26,V4)+SUMIFS(CondAmbBenef!$H$48:$DC$48,CondAmbBenef!$H$25:$DC$25,V4)+SUMIFS(RefrigBenef!$H$44:$DC$44,RefrigBenef!$H$23:$DC$23,V4)+SUMIFS(OutrosBenef!$H$46:$DC$46,OutrosBenef!$H$24:$DC$24,V4)+SUMIFS(Solar[Energia],Solar[UC],V4)</f>
        <v>0</v>
      </c>
      <c r="W56" s="473">
        <f>SUMIFS(IlumBenef!$H$44:$DC$44,IlumBenef!$H$24:$DC$24,W4)+SUMIFS(MotorBenef!$H$49:$DC$49,MotorBenef!$H$26:$DC$26,W4)+SUMIFS(CondAmbBenef!$H$48:$DC$48,CondAmbBenef!$H$25:$DC$25,W4)+SUMIFS(RefrigBenef!$H$44:$DC$44,RefrigBenef!$H$23:$DC$23,W4)+SUMIFS(OutrosBenef!$H$46:$DC$46,OutrosBenef!$H$24:$DC$24,W4)+SUMIFS(Solar[Energia],Solar[UC],W4)</f>
        <v>0</v>
      </c>
      <c r="X56" s="473">
        <f>SUMIFS(IlumBenef!$H$44:$DC$44,IlumBenef!$H$24:$DC$24,X4)+SUMIFS(MotorBenef!$H$49:$DC$49,MotorBenef!$H$26:$DC$26,X4)+SUMIFS(CondAmbBenef!$H$48:$DC$48,CondAmbBenef!$H$25:$DC$25,X4)+SUMIFS(RefrigBenef!$H$44:$DC$44,RefrigBenef!$H$23:$DC$23,X4)+SUMIFS(OutrosBenef!$H$46:$DC$46,OutrosBenef!$H$24:$DC$24,X4)+SUMIFS(Solar[Energia],Solar[UC],X4)</f>
        <v>0</v>
      </c>
      <c r="Y56" s="473">
        <f>SUMIFS(IlumBenef!$H$44:$DC$44,IlumBenef!$H$24:$DC$24,Y4)+SUMIFS(MotorBenef!$H$49:$DC$49,MotorBenef!$H$26:$DC$26,Y4)+SUMIFS(CondAmbBenef!$H$48:$DC$48,CondAmbBenef!$H$25:$DC$25,Y4)+SUMIFS(RefrigBenef!$H$44:$DC$44,RefrigBenef!$H$23:$DC$23,Y4)+SUMIFS(OutrosBenef!$H$46:$DC$46,OutrosBenef!$H$24:$DC$24,Y4)+SUMIFS(Solar[Energia],Solar[UC],Y4)</f>
        <v>0</v>
      </c>
      <c r="Z56" s="473">
        <f>SUMIFS(IlumBenef!$H$44:$DC$44,IlumBenef!$H$24:$DC$24,Z4)+SUMIFS(MotorBenef!$H$49:$DC$49,MotorBenef!$H$26:$DC$26,Z4)+SUMIFS(CondAmbBenef!$H$48:$DC$48,CondAmbBenef!$H$25:$DC$25,Z4)+SUMIFS(RefrigBenef!$H$44:$DC$44,RefrigBenef!$H$23:$DC$23,Z4)+SUMIFS(OutrosBenef!$H$46:$DC$46,OutrosBenef!$H$24:$DC$24,Z4)+SUMIFS(Solar[Energia],Solar[UC],Z4)</f>
        <v>0</v>
      </c>
      <c r="AA56" s="494">
        <f>SUMIFS(IlumBenef!$H$44:$DC$44,IlumBenef!$H$24:$DC$24,AA4)+SUMIFS(MotorBenef!$H$49:$DC$49,MotorBenef!$H$26:$DC$26,AA4)+SUMIFS(CondAmbBenef!$H$48:$DC$48,CondAmbBenef!$H$25:$DC$25,AA4)+SUMIFS(RefrigBenef!$H$44:$DC$44,RefrigBenef!$H$23:$DC$23,AA4)+SUMIFS(OutrosBenef!$H$46:$DC$46,OutrosBenef!$H$24:$DC$24,AA4)+SUMIFS(Solar[Energia],Solar[UC],AA4)</f>
        <v>0</v>
      </c>
    </row>
    <row r="57" spans="2:27" ht="15" customHeight="1" x14ac:dyDescent="0.25">
      <c r="B57" s="189">
        <v>16</v>
      </c>
      <c r="C57" s="190" t="s">
        <v>5093</v>
      </c>
      <c r="D57" s="225"/>
      <c r="E57" s="225"/>
      <c r="F57" s="545" t="s">
        <v>3854</v>
      </c>
      <c r="G57" s="420">
        <f>SUM(H57:AA57)</f>
        <v>0</v>
      </c>
      <c r="H57" s="473">
        <f>H20</f>
        <v>0</v>
      </c>
      <c r="I57" s="473">
        <f>I20</f>
        <v>0</v>
      </c>
      <c r="J57" s="473">
        <f t="shared" ref="J57:AA57" si="21">J20</f>
        <v>0</v>
      </c>
      <c r="K57" s="473">
        <f t="shared" si="21"/>
        <v>0</v>
      </c>
      <c r="L57" s="473">
        <f t="shared" si="21"/>
        <v>0</v>
      </c>
      <c r="M57" s="473">
        <f t="shared" si="21"/>
        <v>0</v>
      </c>
      <c r="N57" s="473">
        <f t="shared" si="21"/>
        <v>0</v>
      </c>
      <c r="O57" s="473">
        <f t="shared" si="21"/>
        <v>0</v>
      </c>
      <c r="P57" s="473">
        <f t="shared" si="21"/>
        <v>0</v>
      </c>
      <c r="Q57" s="473">
        <f t="shared" si="21"/>
        <v>0</v>
      </c>
      <c r="R57" s="473">
        <f t="shared" si="21"/>
        <v>0</v>
      </c>
      <c r="S57" s="473">
        <f t="shared" si="21"/>
        <v>0</v>
      </c>
      <c r="T57" s="473">
        <f t="shared" si="21"/>
        <v>0</v>
      </c>
      <c r="U57" s="473">
        <f t="shared" si="21"/>
        <v>0</v>
      </c>
      <c r="V57" s="473">
        <f t="shared" si="21"/>
        <v>0</v>
      </c>
      <c r="W57" s="473">
        <f t="shared" si="21"/>
        <v>0</v>
      </c>
      <c r="X57" s="473">
        <f t="shared" si="21"/>
        <v>0</v>
      </c>
      <c r="Y57" s="473">
        <f t="shared" si="21"/>
        <v>0</v>
      </c>
      <c r="Z57" s="473">
        <f t="shared" si="21"/>
        <v>0</v>
      </c>
      <c r="AA57" s="494">
        <f t="shared" si="21"/>
        <v>0</v>
      </c>
    </row>
    <row r="58" spans="2:27" ht="15" customHeight="1" x14ac:dyDescent="0.25">
      <c r="B58" s="189">
        <v>17</v>
      </c>
      <c r="C58" s="190" t="s">
        <v>5097</v>
      </c>
      <c r="D58" s="225"/>
      <c r="E58" s="545" t="s">
        <v>3912</v>
      </c>
      <c r="F58" s="419"/>
      <c r="G58" s="581"/>
      <c r="H58" s="582">
        <f>IFERROR(H57/(H55-H56),0)</f>
        <v>0</v>
      </c>
      <c r="I58" s="582">
        <f t="shared" ref="I58:AA58" si="22">IFERROR(I57/(I55-I56),0)</f>
        <v>0</v>
      </c>
      <c r="J58" s="582">
        <f t="shared" si="22"/>
        <v>0</v>
      </c>
      <c r="K58" s="582">
        <f t="shared" si="22"/>
        <v>0</v>
      </c>
      <c r="L58" s="582">
        <f t="shared" si="22"/>
        <v>0</v>
      </c>
      <c r="M58" s="582">
        <f t="shared" si="22"/>
        <v>0</v>
      </c>
      <c r="N58" s="582">
        <f t="shared" si="22"/>
        <v>0</v>
      </c>
      <c r="O58" s="582">
        <f t="shared" si="22"/>
        <v>0</v>
      </c>
      <c r="P58" s="582">
        <f t="shared" si="22"/>
        <v>0</v>
      </c>
      <c r="Q58" s="582">
        <f t="shared" si="22"/>
        <v>0</v>
      </c>
      <c r="R58" s="582">
        <f t="shared" si="22"/>
        <v>0</v>
      </c>
      <c r="S58" s="582">
        <f t="shared" si="22"/>
        <v>0</v>
      </c>
      <c r="T58" s="582">
        <f t="shared" si="22"/>
        <v>0</v>
      </c>
      <c r="U58" s="582">
        <f t="shared" si="22"/>
        <v>0</v>
      </c>
      <c r="V58" s="582">
        <f t="shared" si="22"/>
        <v>0</v>
      </c>
      <c r="W58" s="582">
        <f t="shared" si="22"/>
        <v>0</v>
      </c>
      <c r="X58" s="582">
        <f t="shared" si="22"/>
        <v>0</v>
      </c>
      <c r="Y58" s="582">
        <f t="shared" si="22"/>
        <v>0</v>
      </c>
      <c r="Z58" s="582">
        <f t="shared" si="22"/>
        <v>0</v>
      </c>
      <c r="AA58" s="582">
        <f t="shared" si="22"/>
        <v>0</v>
      </c>
    </row>
    <row r="59" spans="2:27" ht="15" customHeight="1" x14ac:dyDescent="0.25">
      <c r="B59" s="189">
        <v>18</v>
      </c>
      <c r="C59" s="190" t="s">
        <v>5077</v>
      </c>
      <c r="D59" s="225"/>
      <c r="E59" s="545" t="s">
        <v>3912</v>
      </c>
      <c r="F59" s="419"/>
      <c r="G59" s="583"/>
      <c r="H59" s="474">
        <f>IFERROR(H$8/VLOOKUP(H4,'Referencias UC'!$A$2:$B$21,2,FALSE),0)</f>
        <v>0</v>
      </c>
      <c r="I59" s="474">
        <f>IFERROR(I$8/VLOOKUP(I4,'Referencias UC'!$A$2:$B$21,2,FALSE),0)</f>
        <v>0</v>
      </c>
      <c r="J59" s="474">
        <f>IFERROR(J$8/VLOOKUP(J4,'Referencias UC'!$A$2:$B$21,2,FALSE),0)</f>
        <v>0</v>
      </c>
      <c r="K59" s="474">
        <f>IFERROR(K$8/VLOOKUP(K4,'Referencias UC'!$A$2:$B$21,2,FALSE),0)</f>
        <v>0</v>
      </c>
      <c r="L59" s="474">
        <f>IFERROR(L$8/VLOOKUP(L4,'Referencias UC'!$A$2:$B$21,2,FALSE),0)</f>
        <v>0</v>
      </c>
      <c r="M59" s="474">
        <f>IFERROR(M$8/VLOOKUP(M4,'Referencias UC'!$A$2:$B$21,2,FALSE),0)</f>
        <v>0</v>
      </c>
      <c r="N59" s="474">
        <f>IFERROR(N$8/VLOOKUP(N4,'Referencias UC'!$A$2:$B$21,2,FALSE),0)</f>
        <v>0</v>
      </c>
      <c r="O59" s="474">
        <f>IFERROR(O$8/VLOOKUP(O4,'Referencias UC'!$A$2:$B$21,2,FALSE),0)</f>
        <v>0</v>
      </c>
      <c r="P59" s="474">
        <f>IFERROR(P$8/VLOOKUP(P4,'Referencias UC'!$A$2:$B$21,2,FALSE),0)</f>
        <v>0</v>
      </c>
      <c r="Q59" s="474">
        <f>IFERROR(Q$8/VLOOKUP(Q4,'Referencias UC'!$A$2:$B$21,2,FALSE),0)</f>
        <v>0</v>
      </c>
      <c r="R59" s="474">
        <f>IFERROR(R$8/VLOOKUP(R4,'Referencias UC'!$A$2:$B$21,2,FALSE),0)</f>
        <v>0</v>
      </c>
      <c r="S59" s="474">
        <f>IFERROR(S$8/VLOOKUP(S4,'Referencias UC'!$A$2:$B$21,2,FALSE),0)</f>
        <v>0</v>
      </c>
      <c r="T59" s="474">
        <f>IFERROR(T$8/VLOOKUP(T4,'Referencias UC'!$A$2:$B$21,2,FALSE),0)</f>
        <v>0</v>
      </c>
      <c r="U59" s="474">
        <f>IFERROR(U$8/VLOOKUP(U4,'Referencias UC'!$A$2:$B$21,2,FALSE),0)</f>
        <v>0</v>
      </c>
      <c r="V59" s="474">
        <f>IFERROR(V$8/VLOOKUP(V4,'Referencias UC'!$A$2:$B$21,2,FALSE),0)</f>
        <v>0</v>
      </c>
      <c r="W59" s="474">
        <f>IFERROR(W$8/VLOOKUP(W4,'Referencias UC'!$A$2:$B$21,2,FALSE),0)</f>
        <v>0</v>
      </c>
      <c r="X59" s="474">
        <f>IFERROR(X$8/VLOOKUP(X4,'Referencias UC'!$A$2:$B$21,2,FALSE),0)</f>
        <v>0</v>
      </c>
      <c r="Y59" s="474">
        <f>IFERROR(Y$8/VLOOKUP(Y4,'Referencias UC'!$A$2:$B$21,2,FALSE),0)</f>
        <v>0</v>
      </c>
      <c r="Z59" s="474">
        <f>IFERROR(Z$8/VLOOKUP(Z4,'Referencias UC'!$A$2:$B$21,2,FALSE),0)</f>
        <v>0</v>
      </c>
      <c r="AA59" s="582">
        <f>IFERROR(AA$8/VLOOKUP(AA4,'Referencias UC'!$A$2:$B$21,2,FALSE),0)</f>
        <v>0</v>
      </c>
    </row>
    <row r="60" spans="2:27" ht="15" customHeight="1" x14ac:dyDescent="0.25">
      <c r="B60" s="189">
        <v>19</v>
      </c>
      <c r="C60" s="190" t="s">
        <v>5095</v>
      </c>
      <c r="D60" s="225"/>
      <c r="E60" s="545"/>
      <c r="F60" s="419"/>
      <c r="G60" s="420"/>
      <c r="H60" s="474">
        <f>IFERROR(1-(H8/H9),0)</f>
        <v>0</v>
      </c>
      <c r="I60" s="474">
        <f t="shared" ref="I60:AA60" si="23">IFERROR(1-(I8/I9),0)</f>
        <v>0</v>
      </c>
      <c r="J60" s="474">
        <f t="shared" si="23"/>
        <v>0</v>
      </c>
      <c r="K60" s="474">
        <f t="shared" si="23"/>
        <v>0</v>
      </c>
      <c r="L60" s="474">
        <f t="shared" si="23"/>
        <v>0</v>
      </c>
      <c r="M60" s="474">
        <f t="shared" si="23"/>
        <v>0</v>
      </c>
      <c r="N60" s="474">
        <f t="shared" si="23"/>
        <v>0</v>
      </c>
      <c r="O60" s="474">
        <f t="shared" si="23"/>
        <v>0</v>
      </c>
      <c r="P60" s="474">
        <f t="shared" si="23"/>
        <v>0</v>
      </c>
      <c r="Q60" s="474">
        <f t="shared" si="23"/>
        <v>0</v>
      </c>
      <c r="R60" s="474">
        <f t="shared" si="23"/>
        <v>0</v>
      </c>
      <c r="S60" s="474">
        <f t="shared" si="23"/>
        <v>0</v>
      </c>
      <c r="T60" s="474">
        <f t="shared" si="23"/>
        <v>0</v>
      </c>
      <c r="U60" s="474">
        <f t="shared" si="23"/>
        <v>0</v>
      </c>
      <c r="V60" s="474">
        <f t="shared" si="23"/>
        <v>0</v>
      </c>
      <c r="W60" s="474">
        <f t="shared" si="23"/>
        <v>0</v>
      </c>
      <c r="X60" s="474">
        <f t="shared" si="23"/>
        <v>0</v>
      </c>
      <c r="Y60" s="474">
        <f t="shared" si="23"/>
        <v>0</v>
      </c>
      <c r="Z60" s="474">
        <f t="shared" si="23"/>
        <v>0</v>
      </c>
      <c r="AA60" s="474">
        <f t="shared" si="23"/>
        <v>0</v>
      </c>
    </row>
    <row r="61" spans="2:27" ht="15" customHeight="1" x14ac:dyDescent="0.25">
      <c r="B61" s="189">
        <v>20</v>
      </c>
      <c r="C61" s="190" t="s">
        <v>5096</v>
      </c>
      <c r="D61" s="225"/>
      <c r="E61" s="545"/>
      <c r="F61" s="546" t="s">
        <v>3857</v>
      </c>
      <c r="G61" s="420"/>
      <c r="H61" s="587" t="str">
        <f>IFERROR(ROUNDUP((VLOOKUP(H$54,'Referencias UC'!$A$1:$D$21,4,FALSE))/(0.16*24*30)*VLOOKUP(H$54,'Referencias UC'!$A$1:$F$21,6,FALSE),0),"")</f>
        <v/>
      </c>
      <c r="I61" s="587" t="str">
        <f>IFERROR(ROUNDUP((VLOOKUP(I$54,'Referencias UC'!$A$1:$D$21,4,FALSE))/(0.16*24*30)*VLOOKUP(I$54,'Referencias UC'!$A$1:$F$21,6,FALSE),0),"")</f>
        <v/>
      </c>
      <c r="J61" s="587" t="str">
        <f>IFERROR(ROUNDUP((VLOOKUP(J$54,'Referencias UC'!$A$1:$D$21,4,FALSE))/(0.16*24*30)*VLOOKUP(J$54,'Referencias UC'!$A$1:$F$21,6,FALSE),0),"")</f>
        <v/>
      </c>
      <c r="K61" s="587" t="str">
        <f>IFERROR(ROUNDUP((VLOOKUP(K$54,'Referencias UC'!$A$1:$D$21,4,FALSE))/(0.16*24*30)*VLOOKUP(K$54,'Referencias UC'!$A$1:$F$21,6,FALSE),0),"")</f>
        <v/>
      </c>
      <c r="L61" s="587" t="str">
        <f>IFERROR(ROUNDUP((VLOOKUP(L$54,'Referencias UC'!$A$1:$D$21,4,FALSE))/(0.16*24*30)*VLOOKUP(L$54,'Referencias UC'!$A$1:$F$21,6,FALSE),0),"")</f>
        <v/>
      </c>
      <c r="M61" s="587" t="str">
        <f>IFERROR(ROUNDUP((VLOOKUP(M$54,'Referencias UC'!$A$1:$D$21,4,FALSE))/(0.16*24*30)*VLOOKUP(M$54,'Referencias UC'!$A$1:$F$21,6,FALSE),0),"")</f>
        <v/>
      </c>
      <c r="N61" s="587" t="str">
        <f>IFERROR(ROUNDUP((VLOOKUP(N$54,'Referencias UC'!$A$1:$D$21,4,FALSE))/(0.16*24*30)*VLOOKUP(N$54,'Referencias UC'!$A$1:$F$21,6,FALSE),0),"")</f>
        <v/>
      </c>
      <c r="O61" s="587" t="str">
        <f>IFERROR(ROUNDUP((VLOOKUP(O$54,'Referencias UC'!$A$1:$D$21,4,FALSE))/(0.16*24*30)*VLOOKUP(O$54,'Referencias UC'!$A$1:$F$21,6,FALSE),0),"")</f>
        <v/>
      </c>
      <c r="P61" s="587" t="str">
        <f>IFERROR(ROUNDUP((VLOOKUP(P$54,'Referencias UC'!$A$1:$D$21,4,FALSE))/(0.16*24*30)*VLOOKUP(P$54,'Referencias UC'!$A$1:$F$21,6,FALSE),0),"")</f>
        <v/>
      </c>
      <c r="Q61" s="587" t="str">
        <f>IFERROR(ROUNDUP((VLOOKUP(Q$54,'Referencias UC'!$A$1:$D$21,4,FALSE))/(0.16*24*30)*VLOOKUP(Q$54,'Referencias UC'!$A$1:$F$21,6,FALSE),0),"")</f>
        <v/>
      </c>
      <c r="R61" s="587" t="str">
        <f>IFERROR(ROUNDUP((VLOOKUP(R$54,'Referencias UC'!$A$1:$D$21,4,FALSE))/(0.16*24*30)*VLOOKUP(R$54,'Referencias UC'!$A$1:$F$21,6,FALSE),0),"")</f>
        <v/>
      </c>
      <c r="S61" s="587" t="str">
        <f>IFERROR(ROUNDUP((VLOOKUP(S$54,'Referencias UC'!$A$1:$D$21,4,FALSE))/(0.16*24*30)*VLOOKUP(S$54,'Referencias UC'!$A$1:$F$21,6,FALSE),0),"")</f>
        <v/>
      </c>
      <c r="T61" s="587" t="str">
        <f>IFERROR(ROUNDUP((VLOOKUP(T$54,'Referencias UC'!$A$1:$D$21,4,FALSE))/(0.16*24*30)*VLOOKUP(T$54,'Referencias UC'!$A$1:$F$21,6,FALSE),0),"")</f>
        <v/>
      </c>
      <c r="U61" s="587" t="str">
        <f>IFERROR(ROUNDUP((VLOOKUP(U$54,'Referencias UC'!$A$1:$D$21,4,FALSE))/(0.16*24*30)*VLOOKUP(U$54,'Referencias UC'!$A$1:$F$21,6,FALSE),0),"")</f>
        <v/>
      </c>
      <c r="V61" s="587" t="str">
        <f>IFERROR(ROUNDUP((VLOOKUP(V$54,'Referencias UC'!$A$1:$D$21,4,FALSE))/(0.16*24*30)*VLOOKUP(V$54,'Referencias UC'!$A$1:$F$21,6,FALSE),0),"")</f>
        <v/>
      </c>
      <c r="W61" s="587" t="str">
        <f>IFERROR(ROUNDUP((VLOOKUP(W$54,'Referencias UC'!$A$1:$D$21,4,FALSE))/(0.16*24*30)*VLOOKUP(W$54,'Referencias UC'!$A$1:$F$21,6,FALSE),0),"")</f>
        <v/>
      </c>
      <c r="X61" s="587" t="str">
        <f>IFERROR(ROUNDUP((VLOOKUP(X$54,'Referencias UC'!$A$1:$D$21,4,FALSE))/(0.16*24*30)*VLOOKUP(X$54,'Referencias UC'!$A$1:$F$21,6,FALSE),0),"")</f>
        <v/>
      </c>
      <c r="Y61" s="587" t="str">
        <f>IFERROR(ROUNDUP((VLOOKUP(Y$54,'Referencias UC'!$A$1:$D$21,4,FALSE))/(0.16*24*30)*VLOOKUP(Y$54,'Referencias UC'!$A$1:$F$21,6,FALSE),0),"")</f>
        <v/>
      </c>
      <c r="Z61" s="587" t="str">
        <f>IFERROR(ROUNDUP((VLOOKUP(Z$54,'Referencias UC'!$A$1:$D$21,4,FALSE))/(0.16*24*30)*VLOOKUP(Z$54,'Referencias UC'!$A$1:$F$21,6,FALSE),0),"")</f>
        <v/>
      </c>
      <c r="AA61" s="588" t="str">
        <f>IFERROR(ROUNDUP((VLOOKUP(AA$54,'Referencias UC'!$A$1:$D$21,4,FALSE))/(0.16*24*30)*VLOOKUP(AA$54,'Referencias UC'!$A$1:$F$21,6,FALSE),0),"")</f>
        <v/>
      </c>
    </row>
    <row r="62" spans="2:27" hidden="1" x14ac:dyDescent="0.25">
      <c r="B62" s="189">
        <v>18</v>
      </c>
      <c r="C62" s="190" t="s">
        <v>4336</v>
      </c>
      <c r="D62" s="225"/>
      <c r="E62" s="908" t="s">
        <v>4337</v>
      </c>
      <c r="F62" s="909"/>
      <c r="G62" s="493">
        <f>SUM(H62:AA62)</f>
        <v>0</v>
      </c>
      <c r="H62" s="493">
        <f t="shared" ref="H62:AA62" si="24">IF(H15=0,0,H15/H9)</f>
        <v>0</v>
      </c>
      <c r="I62" s="493">
        <f t="shared" si="24"/>
        <v>0</v>
      </c>
      <c r="J62" s="493">
        <f t="shared" si="24"/>
        <v>0</v>
      </c>
      <c r="K62" s="493">
        <f t="shared" si="24"/>
        <v>0</v>
      </c>
      <c r="L62" s="493">
        <f t="shared" si="24"/>
        <v>0</v>
      </c>
      <c r="M62" s="493">
        <f t="shared" si="24"/>
        <v>0</v>
      </c>
      <c r="N62" s="493">
        <f t="shared" si="24"/>
        <v>0</v>
      </c>
      <c r="O62" s="493">
        <f t="shared" si="24"/>
        <v>0</v>
      </c>
      <c r="P62" s="493">
        <f t="shared" si="24"/>
        <v>0</v>
      </c>
      <c r="Q62" s="493">
        <f t="shared" si="24"/>
        <v>0</v>
      </c>
      <c r="R62" s="493">
        <f t="shared" si="24"/>
        <v>0</v>
      </c>
      <c r="S62" s="493">
        <f t="shared" si="24"/>
        <v>0</v>
      </c>
      <c r="T62" s="493">
        <f t="shared" si="24"/>
        <v>0</v>
      </c>
      <c r="U62" s="493">
        <f t="shared" si="24"/>
        <v>0</v>
      </c>
      <c r="V62" s="493">
        <f t="shared" si="24"/>
        <v>0</v>
      </c>
      <c r="W62" s="493">
        <f t="shared" si="24"/>
        <v>0</v>
      </c>
      <c r="X62" s="493">
        <f t="shared" si="24"/>
        <v>0</v>
      </c>
      <c r="Y62" s="493">
        <f t="shared" si="24"/>
        <v>0</v>
      </c>
      <c r="Z62" s="493">
        <f t="shared" si="24"/>
        <v>0</v>
      </c>
      <c r="AA62" s="493">
        <f t="shared" si="24"/>
        <v>0</v>
      </c>
    </row>
    <row r="63" spans="2:27" hidden="1" x14ac:dyDescent="0.25">
      <c r="B63" s="189">
        <v>21</v>
      </c>
      <c r="C63" s="190" t="s">
        <v>4336</v>
      </c>
      <c r="D63" s="225"/>
      <c r="E63" s="908" t="s">
        <v>5044</v>
      </c>
      <c r="F63" s="909"/>
      <c r="G63" s="493">
        <f>SUM(H63:AA63)</f>
        <v>0</v>
      </c>
      <c r="H63" s="493">
        <f>(H62/12)*1000</f>
        <v>0</v>
      </c>
      <c r="I63" s="493">
        <f t="shared" ref="I63:AA63" si="25">(I62/12)*1000</f>
        <v>0</v>
      </c>
      <c r="J63" s="493">
        <f t="shared" si="25"/>
        <v>0</v>
      </c>
      <c r="K63" s="493">
        <f t="shared" si="25"/>
        <v>0</v>
      </c>
      <c r="L63" s="493">
        <f t="shared" si="25"/>
        <v>0</v>
      </c>
      <c r="M63" s="493">
        <f t="shared" si="25"/>
        <v>0</v>
      </c>
      <c r="N63" s="493">
        <f t="shared" si="25"/>
        <v>0</v>
      </c>
      <c r="O63" s="493">
        <f t="shared" si="25"/>
        <v>0</v>
      </c>
      <c r="P63" s="493">
        <f t="shared" si="25"/>
        <v>0</v>
      </c>
      <c r="Q63" s="493">
        <f t="shared" si="25"/>
        <v>0</v>
      </c>
      <c r="R63" s="493">
        <f t="shared" si="25"/>
        <v>0</v>
      </c>
      <c r="S63" s="493">
        <f t="shared" si="25"/>
        <v>0</v>
      </c>
      <c r="T63" s="493">
        <f t="shared" si="25"/>
        <v>0</v>
      </c>
      <c r="U63" s="493">
        <f t="shared" si="25"/>
        <v>0</v>
      </c>
      <c r="V63" s="493">
        <f t="shared" si="25"/>
        <v>0</v>
      </c>
      <c r="W63" s="493">
        <f t="shared" si="25"/>
        <v>0</v>
      </c>
      <c r="X63" s="493">
        <f t="shared" si="25"/>
        <v>0</v>
      </c>
      <c r="Y63" s="493">
        <f t="shared" si="25"/>
        <v>0</v>
      </c>
      <c r="Z63" s="493">
        <f t="shared" si="25"/>
        <v>0</v>
      </c>
      <c r="AA63" s="493">
        <f t="shared" si="25"/>
        <v>0</v>
      </c>
    </row>
    <row r="64" spans="2:27" ht="15" customHeight="1" x14ac:dyDescent="0.25">
      <c r="H64" s="289"/>
    </row>
    <row r="65" spans="2:3" ht="15" customHeight="1" x14ac:dyDescent="0.25">
      <c r="B65" s="910" t="s">
        <v>5875</v>
      </c>
      <c r="C65" s="911"/>
    </row>
  </sheetData>
  <sheetProtection algorithmName="SHA-512" hashValue="0tmLgZRGLGwoHiHzsziKvXlHFEFS1yLfxmNZeCo8Hut/fF2QlcsB81mXXIGd+d+/PlLEPShztOwRHbmPl3G2YA==" saltValue="U+2s7qcec30EgMkb1jFC8Q==" spinCount="100000" sheet="1" objects="1" scenarios="1"/>
  <mergeCells count="12">
    <mergeCell ref="B2:F2"/>
    <mergeCell ref="B12:B14"/>
    <mergeCell ref="B18:F18"/>
    <mergeCell ref="B28:F28"/>
    <mergeCell ref="B36:B38"/>
    <mergeCell ref="B34:B35"/>
    <mergeCell ref="B10:B11"/>
    <mergeCell ref="E63:F63"/>
    <mergeCell ref="E62:F62"/>
    <mergeCell ref="B53:F53"/>
    <mergeCell ref="B43:F43"/>
    <mergeCell ref="B65:C65"/>
  </mergeCells>
  <phoneticPr fontId="22" type="noConversion"/>
  <conditionalFormatting sqref="G5:G16">
    <cfRule type="expression" dxfId="61" priority="2">
      <formula>G5="ERRO"</formula>
    </cfRule>
  </conditionalFormatting>
  <conditionalFormatting sqref="G20:G23">
    <cfRule type="expression" dxfId="60" priority="43">
      <formula>G20="ERRO"</formula>
    </cfRule>
  </conditionalFormatting>
  <conditionalFormatting sqref="G30:G40">
    <cfRule type="expression" dxfId="59" priority="44">
      <formula>G30="ERRO"</formula>
    </cfRule>
  </conditionalFormatting>
  <conditionalFormatting sqref="G45:G47">
    <cfRule type="expression" dxfId="58" priority="56">
      <formula>G45="ERRO"</formula>
    </cfRule>
  </conditionalFormatting>
  <conditionalFormatting sqref="H10:AA10">
    <cfRule type="expression" dxfId="57" priority="55">
      <formula>OR(H10&gt;1,H10&lt;0)</formula>
    </cfRule>
  </conditionalFormatting>
  <conditionalFormatting sqref="H12:AA12">
    <cfRule type="expression" dxfId="56" priority="4">
      <formula>H12&lt;0</formula>
    </cfRule>
  </conditionalFormatting>
  <conditionalFormatting sqref="H13:AA13">
    <cfRule type="expression" dxfId="55" priority="3">
      <formula>OR(H13&gt;365,H13&lt;0)</formula>
    </cfRule>
  </conditionalFormatting>
  <conditionalFormatting sqref="H14:AA14 H38:AA38">
    <cfRule type="expression" dxfId="54" priority="52">
      <formula>OR(H14&gt;8760,H14&lt;0)</formula>
    </cfRule>
  </conditionalFormatting>
  <conditionalFormatting sqref="H60:AA60">
    <cfRule type="cellIs" dxfId="53" priority="1" operator="greaterThan">
      <formula>1.2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28 C28:F28 F6 A13:F14 A11:B11 A17:F17 A35:B35 A41:F42 A47:B47 A49:D49 F49:H49 A2:A3 D6 A12 F11:F12 D15:F15 D11:D12 A20:A21 D20:F20 A24:F24 A22:B22 D22:E22 A29:F29 D32:E32 A32:A34 D34:E34 A38:E38 A36 A37:B37 D40:F40 A44:F44 A43 C43:F43 A19:F19 A18 C18:F18 D47:E47 D35:D37 D39:E39 A30 C30:F30 C33:D33 A39:A40 A45:A46 C45:F45 C46 A26:F27 A25:D25 F25 H25 AB24:IV30 G47 E21:F21 E46:F46 J25:Y25 H26:Y26 H36:Y37 H34:Y34 H39:Y43 H32:Y32 H30:Y30 H11:Y11 J49:Y49 A50:Y50 H46:Y46 H24:Y24 F9 C2:Y2 A9:A10 A48:Y48 A1:Y1 I9:Y9 H28:Y28 I27:Y27 N51:Y51 A51:B52 A64:F64 D3:G3 C5:G5 C7:F7 C9:D9 D10:F10 AB1:IV3 P10:U10 W6:Y7 W10:Y10 W12:Y13 A53:A55 AB32:IV55 A62:A63 A67:Y65532 A65 I64:Y65 H17:Y22 I14:Y15 M6:U7 M12:U13 A15:A16 AB9:IV22 AB5:IV7 A5:A7 A57:A59 AB57:IV59 A66:G66 J66:Y66 D65:E65 AB62:IV65532" unlockedFormula="1"/>
    <ignoredError sqref="G24:G30 G32:G46 G17:G19 G21" formula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0"/>
  <dimension ref="B2:Z153"/>
  <sheetViews>
    <sheetView zoomScaleNormal="100" workbookViewId="0">
      <selection activeCell="B5" sqref="B5:G5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1" width="18.85546875" style="52" bestFit="1" customWidth="1"/>
    <col min="12" max="12" width="16.57031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12.57031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9.7109375" style="52" bestFit="1" customWidth="1"/>
    <col min="24" max="25" width="16.7109375" style="52" bestFit="1" customWidth="1"/>
    <col min="26" max="16384" width="9.140625" style="52"/>
  </cols>
  <sheetData>
    <row r="2" spans="2:26" ht="15" customHeight="1" x14ac:dyDescent="0.25">
      <c r="B2" s="649" t="s">
        <v>3999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SISTEMAS MOTRIZES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76"/>
      <c r="D6" s="876"/>
      <c r="E6" s="876"/>
      <c r="F6" s="876"/>
      <c r="G6" s="827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76"/>
      <c r="D7" s="876"/>
      <c r="E7" s="876"/>
      <c r="F7" s="876"/>
      <c r="G7" s="827"/>
      <c r="H7" s="18"/>
      <c r="I7" s="2"/>
      <c r="J7" s="1"/>
      <c r="K7" s="143">
        <f t="shared" ref="K7:K25" si="0">N7-L7-M7</f>
        <v>0</v>
      </c>
      <c r="L7" s="1"/>
      <c r="M7" s="1"/>
      <c r="N7" s="143">
        <f t="shared" ref="N7:N25" si="1">I7*J7</f>
        <v>0</v>
      </c>
      <c r="P7" s="168">
        <f t="shared" ref="P7:P25" si="2">B7</f>
        <v>2</v>
      </c>
      <c r="Q7" s="834" t="str">
        <f t="shared" ref="Q7:Q25" si="3">IF(OR(C7=0,C7=""),"",C7)</f>
        <v/>
      </c>
      <c r="R7" s="834"/>
      <c r="S7" s="834"/>
      <c r="T7" s="834"/>
      <c r="U7" s="835"/>
      <c r="V7" s="171" t="str">
        <f t="shared" ref="V7:V25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76"/>
      <c r="D8" s="876"/>
      <c r="E8" s="876"/>
      <c r="F8" s="876"/>
      <c r="G8" s="827"/>
      <c r="H8" s="18"/>
      <c r="I8" s="2"/>
      <c r="J8" s="1"/>
      <c r="K8" s="143">
        <f>N8-L8-M8</f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 t="shared" si="3"/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76"/>
      <c r="D9" s="876"/>
      <c r="E9" s="876"/>
      <c r="F9" s="876"/>
      <c r="G9" s="827"/>
      <c r="H9" s="18"/>
      <c r="I9" s="2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3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76"/>
      <c r="D10" s="876"/>
      <c r="E10" s="876"/>
      <c r="F10" s="876"/>
      <c r="G10" s="827"/>
      <c r="H10" s="18"/>
      <c r="I10" s="2"/>
      <c r="J10" s="1"/>
      <c r="K10" s="143">
        <f>N10-L10-M10</f>
        <v>0</v>
      </c>
      <c r="L10" s="1"/>
      <c r="M10" s="1"/>
      <c r="N10" s="143">
        <f>I10*J10</f>
        <v>0</v>
      </c>
      <c r="P10" s="168">
        <f t="shared" si="2"/>
        <v>5</v>
      </c>
      <c r="Q10" s="834" t="str">
        <f t="shared" si="3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76"/>
      <c r="D11" s="876"/>
      <c r="E11" s="876"/>
      <c r="F11" s="876"/>
      <c r="G11" s="827"/>
      <c r="H11" s="18"/>
      <c r="I11" s="2"/>
      <c r="J11" s="1"/>
      <c r="K11" s="143">
        <f t="shared" si="0"/>
        <v>0</v>
      </c>
      <c r="L11" s="1"/>
      <c r="M11" s="1"/>
      <c r="N11" s="143">
        <f t="shared" si="1"/>
        <v>0</v>
      </c>
      <c r="P11" s="168">
        <f t="shared" si="2"/>
        <v>6</v>
      </c>
      <c r="Q11" s="834" t="str">
        <f t="shared" si="3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76"/>
      <c r="D12" s="876"/>
      <c r="E12" s="876"/>
      <c r="F12" s="876"/>
      <c r="G12" s="827"/>
      <c r="H12" s="18"/>
      <c r="I12" s="2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3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76"/>
      <c r="D13" s="876"/>
      <c r="E13" s="876"/>
      <c r="F13" s="876"/>
      <c r="G13" s="827"/>
      <c r="H13" s="18"/>
      <c r="I13" s="2"/>
      <c r="J13" s="1"/>
      <c r="K13" s="143">
        <f t="shared" si="0"/>
        <v>0</v>
      </c>
      <c r="L13" s="1"/>
      <c r="M13" s="1"/>
      <c r="N13" s="143">
        <f t="shared" si="1"/>
        <v>0</v>
      </c>
      <c r="P13" s="168">
        <f t="shared" si="2"/>
        <v>8</v>
      </c>
      <c r="Q13" s="834" t="str">
        <f t="shared" si="3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76"/>
      <c r="D14" s="876"/>
      <c r="E14" s="876"/>
      <c r="F14" s="876"/>
      <c r="G14" s="827"/>
      <c r="H14" s="18"/>
      <c r="I14" s="2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3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76"/>
      <c r="D15" s="876"/>
      <c r="E15" s="876"/>
      <c r="F15" s="876"/>
      <c r="G15" s="827"/>
      <c r="H15" s="18"/>
      <c r="I15" s="2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3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76"/>
      <c r="D16" s="876"/>
      <c r="E16" s="876"/>
      <c r="F16" s="876"/>
      <c r="G16" s="827"/>
      <c r="H16" s="18"/>
      <c r="I16" s="2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3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76"/>
      <c r="D17" s="876"/>
      <c r="E17" s="876"/>
      <c r="F17" s="876"/>
      <c r="G17" s="827"/>
      <c r="H17" s="18"/>
      <c r="I17" s="2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3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76"/>
      <c r="D18" s="876"/>
      <c r="E18" s="876"/>
      <c r="F18" s="876"/>
      <c r="G18" s="827"/>
      <c r="H18" s="18"/>
      <c r="I18" s="2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3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76"/>
      <c r="D19" s="876"/>
      <c r="E19" s="876"/>
      <c r="F19" s="876"/>
      <c r="G19" s="827"/>
      <c r="H19" s="18"/>
      <c r="I19" s="2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3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76"/>
      <c r="D20" s="876"/>
      <c r="E20" s="876"/>
      <c r="F20" s="876"/>
      <c r="G20" s="827"/>
      <c r="H20" s="18"/>
      <c r="I20" s="2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3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76"/>
      <c r="D21" s="876"/>
      <c r="E21" s="876"/>
      <c r="F21" s="876"/>
      <c r="G21" s="827"/>
      <c r="H21" s="18"/>
      <c r="I21" s="2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3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76"/>
      <c r="D22" s="876"/>
      <c r="E22" s="876"/>
      <c r="F22" s="876"/>
      <c r="G22" s="827"/>
      <c r="H22" s="18"/>
      <c r="I22" s="2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3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76"/>
      <c r="D23" s="876"/>
      <c r="E23" s="876"/>
      <c r="F23" s="876"/>
      <c r="G23" s="827"/>
      <c r="H23" s="18"/>
      <c r="I23" s="2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3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76"/>
      <c r="D24" s="876"/>
      <c r="E24" s="876"/>
      <c r="F24" s="876"/>
      <c r="G24" s="827"/>
      <c r="H24" s="18"/>
      <c r="I24" s="2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3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76"/>
      <c r="D25" s="876"/>
      <c r="E25" s="876"/>
      <c r="F25" s="876"/>
      <c r="G25" s="827"/>
      <c r="H25" s="18"/>
      <c r="I25" s="2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3"/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4338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4339</v>
      </c>
      <c r="Q27" s="884"/>
      <c r="R27" s="884"/>
      <c r="S27" s="884"/>
      <c r="T27" s="884"/>
      <c r="U27" s="884"/>
      <c r="V27" s="885"/>
      <c r="W27" s="182" t="s">
        <v>4340</v>
      </c>
      <c r="X27" s="183">
        <f>SUM(X6:X26)</f>
        <v>0</v>
      </c>
      <c r="Y27" s="183">
        <f>SUM(Y6:Y26)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4341</v>
      </c>
      <c r="Q29" s="190"/>
      <c r="R29" s="191">
        <f>RCB!$G$9</f>
        <v>0</v>
      </c>
      <c r="T29" s="189" t="s">
        <v>4342</v>
      </c>
      <c r="U29" s="190"/>
      <c r="V29" s="191">
        <f>RCB!$J$9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 t="shared" ref="K31:K37" si="5">N31-L31-M31</f>
        <v>0</v>
      </c>
      <c r="L31" s="143">
        <v>0</v>
      </c>
      <c r="M31" s="143">
        <v>0</v>
      </c>
      <c r="N31" s="143">
        <f t="shared" ref="N31:N37" si="6"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si="5"/>
        <v>0</v>
      </c>
      <c r="L32" s="143">
        <v>0</v>
      </c>
      <c r="M32" s="143">
        <v>0</v>
      </c>
      <c r="N32" s="143">
        <f t="shared" si="6"/>
        <v>0</v>
      </c>
    </row>
    <row r="33" spans="2:16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 t="shared" si="6"/>
        <v>0</v>
      </c>
    </row>
    <row r="34" spans="2:16" ht="15" customHeight="1" x14ac:dyDescent="0.25">
      <c r="B34" s="175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6" ht="15" customHeight="1" x14ac:dyDescent="0.25">
      <c r="B35" s="168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6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6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16" ht="15" customHeight="1" x14ac:dyDescent="0.25">
      <c r="B38" s="195"/>
      <c r="C38" s="877" t="s">
        <v>4343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6" x14ac:dyDescent="0.25">
      <c r="B39" s="180"/>
      <c r="C39" s="844" t="s">
        <v>4344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16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6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6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16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6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16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16" ht="15" customHeight="1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16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Descarte!K41</f>
        <v>0</v>
      </c>
      <c r="L47" s="143">
        <v>0</v>
      </c>
      <c r="M47" s="143">
        <v>0</v>
      </c>
      <c r="N47" s="143">
        <f>Descarte!L41</f>
        <v>0</v>
      </c>
    </row>
    <row r="48" spans="2:16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'M&amp;V'!M203</f>
        <v>0</v>
      </c>
      <c r="L48" s="143">
        <v>0</v>
      </c>
      <c r="M48" s="143">
        <v>0</v>
      </c>
      <c r="N48" s="143">
        <f>'M&amp;V'!N203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4345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4346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4032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SISTEMAS MOTRIZES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 t="e">
        <f>IF(AND(K61&gt;0,CustoContabil!#REF!&gt;0),K61*(CustoContabil!#REF!/CustoContabil!#REF!)*W61,0)</f>
        <v>#REF!</v>
      </c>
      <c r="Y61" s="204" t="e">
        <f>IF(AND(N61&gt;0,CustoContabil!#REF!&gt;0),N61*(CustoContabil!#REF!/CustoContabil!#REF!)*W61,0)</f>
        <v>#REF!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111" si="7">N62-L62-M62</f>
        <v>0</v>
      </c>
      <c r="L62" s="142"/>
      <c r="M62" s="142"/>
      <c r="N62" s="158">
        <f t="shared" ref="N62:N111" si="8">I62*J62</f>
        <v>0</v>
      </c>
      <c r="P62" s="201">
        <f t="shared" ref="P62:P110" si="9">B62</f>
        <v>2</v>
      </c>
      <c r="Q62" s="866" t="str">
        <f t="shared" ref="Q62:Q111" si="10">IF(OR(C62=0,C62=""),"",C62)</f>
        <v/>
      </c>
      <c r="R62" s="866"/>
      <c r="S62" s="866"/>
      <c r="T62" s="866"/>
      <c r="U62" s="867"/>
      <c r="V62" s="202" t="str">
        <f t="shared" ref="V62:V111" si="11">IF(N62=0,"",H62)</f>
        <v/>
      </c>
      <c r="W62" s="203">
        <f>IF(OR(V62="",V62=0),0,(Projeto!$AD$8*((1+Projeto!$AD$8)^V62))/(((1+Projeto!$AD$8)^V62)-1))</f>
        <v>0</v>
      </c>
      <c r="X62" s="204" t="e">
        <f>IF(AND(K62&gt;0,CustoContabil!#REF!&gt;0),K62*(CustoContabil!#REF!/CustoContabil!#REF!)*W62,0)</f>
        <v>#REF!</v>
      </c>
      <c r="Y62" s="204" t="e">
        <f>IF(AND(N62&gt;0,CustoContabil!#REF!&gt;0),N62*(CustoContabil!#REF!/CustoContabil!#REF!)*W62,0)</f>
        <v>#REF!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 t="e">
        <f>IF(AND(K63&gt;0,CustoContabil!#REF!&gt;0),K63*(CustoContabil!#REF!/CustoContabil!#REF!)*W63,0)</f>
        <v>#REF!</v>
      </c>
      <c r="Y63" s="204" t="e">
        <f>IF(AND(N63&gt;0,CustoContabil!#REF!&gt;0),N63*(CustoContabil!#REF!/CustoContabil!#REF!)*W63,0)</f>
        <v>#REF!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 t="e">
        <f>IF(AND(K64&gt;0,CustoContabil!#REF!&gt;0),K64*(CustoContabil!#REF!/CustoContabil!#REF!)*W64,0)</f>
        <v>#REF!</v>
      </c>
      <c r="Y64" s="204" t="e">
        <f>IF(AND(N64&gt;0,CustoContabil!#REF!&gt;0),N64*(CustoContabil!#REF!/CustoContabil!#REF!)*W64,0)</f>
        <v>#REF!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 t="e">
        <f>IF(AND(K65&gt;0,CustoContabil!#REF!&gt;0),K65*(CustoContabil!#REF!/CustoContabil!#REF!)*W65,0)</f>
        <v>#REF!</v>
      </c>
      <c r="Y65" s="204" t="e">
        <f>IF(AND(N65&gt;0,CustoContabil!#REF!&gt;0),N65*(CustoContabil!#REF!/CustoContabil!#REF!)*W65,0)</f>
        <v>#REF!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 t="e">
        <f>IF(AND(K66&gt;0,CustoContabil!#REF!&gt;0),K66*(CustoContabil!#REF!/CustoContabil!#REF!)*W66,0)</f>
        <v>#REF!</v>
      </c>
      <c r="Y66" s="204" t="e">
        <f>IF(AND(N66&gt;0,CustoContabil!#REF!&gt;0),N66*(CustoContabil!#REF!/CustoContabil!#REF!)*W66,0)</f>
        <v>#REF!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 t="e">
        <f>IF(AND(K67&gt;0,CustoContabil!#REF!&gt;0),K67*(CustoContabil!#REF!/CustoContabil!#REF!)*W67,0)</f>
        <v>#REF!</v>
      </c>
      <c r="Y67" s="204" t="e">
        <f>IF(AND(N67&gt;0,CustoContabil!#REF!&gt;0),N67*(CustoContabil!#REF!/CustoContabil!#REF!)*W67,0)</f>
        <v>#REF!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 t="e">
        <f>IF(AND(K68&gt;0,CustoContabil!#REF!&gt;0),K68*(CustoContabil!#REF!/CustoContabil!#REF!)*W68,0)</f>
        <v>#REF!</v>
      </c>
      <c r="Y68" s="204" t="e">
        <f>IF(AND(N68&gt;0,CustoContabil!#REF!&gt;0),N68*(CustoContabil!#REF!/CustoContabil!#REF!)*W68,0)</f>
        <v>#REF!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 t="e">
        <f>IF(AND(K69&gt;0,CustoContabil!#REF!&gt;0),K69*(CustoContabil!#REF!/CustoContabil!#REF!)*W69,0)</f>
        <v>#REF!</v>
      </c>
      <c r="Y69" s="204" t="e">
        <f>IF(AND(N69&gt;0,CustoContabil!#REF!&gt;0),N69*(CustoContabil!#REF!/CustoContabil!#REF!)*W69,0)</f>
        <v>#REF!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 t="e">
        <f>IF(AND(K70&gt;0,CustoContabil!#REF!&gt;0),K70*(CustoContabil!#REF!/CustoContabil!#REF!)*W70,0)</f>
        <v>#REF!</v>
      </c>
      <c r="Y70" s="204" t="e">
        <f>IF(AND(N70&gt;0,CustoContabil!#REF!&gt;0),N70*(CustoContabil!#REF!/CustoContabil!#REF!)*W70,0)</f>
        <v>#REF!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 t="e">
        <f>IF(AND(K71&gt;0,CustoContabil!#REF!&gt;0),K71*(CustoContabil!#REF!/CustoContabil!#REF!)*W71,0)</f>
        <v>#REF!</v>
      </c>
      <c r="Y71" s="204" t="e">
        <f>IF(AND(N71&gt;0,CustoContabil!#REF!&gt;0),N71*(CustoContabil!#REF!/CustoContabil!#REF!)*W71,0)</f>
        <v>#REF!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 t="e">
        <f>IF(AND(K72&gt;0,CustoContabil!#REF!&gt;0),K72*(CustoContabil!#REF!/CustoContabil!#REF!)*W72,0)</f>
        <v>#REF!</v>
      </c>
      <c r="Y72" s="204" t="e">
        <f>IF(AND(N72&gt;0,CustoContabil!#REF!&gt;0),N72*(CustoContabil!#REF!/CustoContabil!#REF!)*W72,0)</f>
        <v>#REF!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 t="e">
        <f>IF(AND(K73&gt;0,CustoContabil!#REF!&gt;0),K73*(CustoContabil!#REF!/CustoContabil!#REF!)*W73,0)</f>
        <v>#REF!</v>
      </c>
      <c r="Y73" s="204" t="e">
        <f>IF(AND(N73&gt;0,CustoContabil!#REF!&gt;0),N73*(CustoContabil!#REF!/CustoContabil!#REF!)*W73,0)</f>
        <v>#REF!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 t="e">
        <f>IF(AND(K74&gt;0,CustoContabil!#REF!&gt;0),K74*(CustoContabil!#REF!/CustoContabil!#REF!)*W74,0)</f>
        <v>#REF!</v>
      </c>
      <c r="Y74" s="204" t="e">
        <f>IF(AND(N74&gt;0,CustoContabil!#REF!&gt;0),N74*(CustoContabil!#REF!/CustoContabil!#REF!)*W74,0)</f>
        <v>#REF!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 t="e">
        <f>IF(AND(K75&gt;0,CustoContabil!#REF!&gt;0),K75*(CustoContabil!#REF!/CustoContabil!#REF!)*W75,0)</f>
        <v>#REF!</v>
      </c>
      <c r="Y75" s="204" t="e">
        <f>IF(AND(N75&gt;0,CustoContabil!#REF!&gt;0),N75*(CustoContabil!#REF!/CustoContabil!#REF!)*W75,0)</f>
        <v>#REF!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 t="e">
        <f>IF(AND(K76&gt;0,CustoContabil!#REF!&gt;0),K76*(CustoContabil!#REF!/CustoContabil!#REF!)*W76,0)</f>
        <v>#REF!</v>
      </c>
      <c r="Y76" s="204" t="e">
        <f>IF(AND(N76&gt;0,CustoContabil!#REF!&gt;0),N76*(CustoContabil!#REF!/CustoContabil!#REF!)*W76,0)</f>
        <v>#REF!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 t="e">
        <f>IF(AND(K77&gt;0,CustoContabil!#REF!&gt;0),K77*(CustoContabil!#REF!/CustoContabil!#REF!)*W77,0)</f>
        <v>#REF!</v>
      </c>
      <c r="Y77" s="204" t="e">
        <f>IF(AND(N77&gt;0,CustoContabil!#REF!&gt;0),N77*(CustoContabil!#REF!/CustoContabil!#REF!)*W77,0)</f>
        <v>#REF!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 t="e">
        <f>IF(AND(K78&gt;0,CustoContabil!#REF!&gt;0),K78*(CustoContabil!#REF!/CustoContabil!#REF!)*W78,0)</f>
        <v>#REF!</v>
      </c>
      <c r="Y78" s="204" t="e">
        <f>IF(AND(N78&gt;0,CustoContabil!#REF!&gt;0),N78*(CustoContabil!#REF!/CustoContabil!#REF!)*W78,0)</f>
        <v>#REF!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 t="e">
        <f>IF(AND(K79&gt;0,CustoContabil!#REF!&gt;0),K79*(CustoContabil!#REF!/CustoContabil!#REF!)*W79,0)</f>
        <v>#REF!</v>
      </c>
      <c r="Y79" s="204" t="e">
        <f>IF(AND(N79&gt;0,CustoContabil!#REF!&gt;0),N79*(CustoContabil!#REF!/CustoContabil!#REF!)*W79,0)</f>
        <v>#REF!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 t="e">
        <f>IF(AND(K80&gt;0,CustoContabil!#REF!&gt;0),K80*(CustoContabil!#REF!/CustoContabil!#REF!)*W80,0)</f>
        <v>#REF!</v>
      </c>
      <c r="Y80" s="204" t="e">
        <f>IF(AND(N80&gt;0,CustoContabil!#REF!&gt;0),N80*(CustoContabil!#REF!/CustoContabil!#REF!)*W80,0)</f>
        <v>#REF!</v>
      </c>
    </row>
    <row r="81" spans="2:25" ht="15" hidden="1" customHeight="1" x14ac:dyDescent="0.25">
      <c r="B81" s="201">
        <v>21</v>
      </c>
      <c r="C81" s="853"/>
      <c r="D81" s="854"/>
      <c r="E81" s="854"/>
      <c r="F81" s="854"/>
      <c r="G81" s="854"/>
      <c r="H81" s="176"/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>
        <f t="shared" si="9"/>
        <v>21</v>
      </c>
      <c r="Q81" s="866" t="str">
        <f t="shared" si="10"/>
        <v/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 t="e">
        <f>IF(AND(K81&gt;0,CustoContabil!#REF!&gt;0),K81*(CustoContabil!#REF!/CustoContabil!#REF!)*W81,0)</f>
        <v>#REF!</v>
      </c>
      <c r="Y81" s="204" t="e">
        <f>IF(AND(N81&gt;0,CustoContabil!#REF!&gt;0),N81*(CustoContabil!#REF!/CustoContabil!#REF!)*W81,0)</f>
        <v>#REF!</v>
      </c>
    </row>
    <row r="82" spans="2:25" ht="15" hidden="1" customHeight="1" x14ac:dyDescent="0.25">
      <c r="B82" s="201">
        <v>22</v>
      </c>
      <c r="C82" s="853"/>
      <c r="D82" s="854"/>
      <c r="E82" s="854"/>
      <c r="F82" s="854"/>
      <c r="G82" s="854"/>
      <c r="H82" s="176"/>
      <c r="I82" s="177"/>
      <c r="J82" s="142"/>
      <c r="K82" s="158">
        <f t="shared" si="7"/>
        <v>0</v>
      </c>
      <c r="L82" s="142"/>
      <c r="M82" s="142"/>
      <c r="N82" s="158">
        <f t="shared" si="8"/>
        <v>0</v>
      </c>
      <c r="P82" s="201">
        <f t="shared" si="9"/>
        <v>22</v>
      </c>
      <c r="Q82" s="866" t="str">
        <f t="shared" si="10"/>
        <v/>
      </c>
      <c r="R82" s="866"/>
      <c r="S82" s="866"/>
      <c r="T82" s="866"/>
      <c r="U82" s="867"/>
      <c r="V82" s="202" t="str">
        <f t="shared" si="11"/>
        <v/>
      </c>
      <c r="W82" s="203">
        <f>IF(OR(V82="",V82=0),0,(Projeto!$AD$8*((1+Projeto!$AD$8)^V82))/(((1+Projeto!$AD$8)^V82)-1))</f>
        <v>0</v>
      </c>
      <c r="X82" s="204" t="e">
        <f>IF(AND(K82&gt;0,CustoContabil!#REF!&gt;0),K82*(CustoContabil!#REF!/CustoContabil!#REF!)*W82,0)</f>
        <v>#REF!</v>
      </c>
      <c r="Y82" s="204" t="e">
        <f>IF(AND(N82&gt;0,CustoContabil!#REF!&gt;0),N82*(CustoContabil!#REF!/CustoContabil!#REF!)*W82,0)</f>
        <v>#REF!</v>
      </c>
    </row>
    <row r="83" spans="2:25" ht="15" hidden="1" customHeight="1" x14ac:dyDescent="0.25">
      <c r="B83" s="201">
        <v>23</v>
      </c>
      <c r="C83" s="853"/>
      <c r="D83" s="854"/>
      <c r="E83" s="854"/>
      <c r="F83" s="854"/>
      <c r="G83" s="854"/>
      <c r="H83" s="176"/>
      <c r="I83" s="177"/>
      <c r="J83" s="142"/>
      <c r="K83" s="158">
        <f t="shared" si="7"/>
        <v>0</v>
      </c>
      <c r="L83" s="142"/>
      <c r="M83" s="142"/>
      <c r="N83" s="158">
        <f t="shared" si="8"/>
        <v>0</v>
      </c>
      <c r="P83" s="201">
        <f t="shared" si="9"/>
        <v>23</v>
      </c>
      <c r="Q83" s="866" t="str">
        <f t="shared" si="10"/>
        <v/>
      </c>
      <c r="R83" s="866"/>
      <c r="S83" s="866"/>
      <c r="T83" s="866"/>
      <c r="U83" s="867"/>
      <c r="V83" s="202" t="str">
        <f t="shared" si="11"/>
        <v/>
      </c>
      <c r="W83" s="203">
        <f>IF(OR(V83="",V83=0),0,(Projeto!$AD$8*((1+Projeto!$AD$8)^V83))/(((1+Projeto!$AD$8)^V83)-1))</f>
        <v>0</v>
      </c>
      <c r="X83" s="204" t="e">
        <f>IF(AND(K83&gt;0,CustoContabil!#REF!&gt;0),K83*(CustoContabil!#REF!/CustoContabil!#REF!)*W83,0)</f>
        <v>#REF!</v>
      </c>
      <c r="Y83" s="204" t="e">
        <f>IF(AND(N83&gt;0,CustoContabil!#REF!&gt;0),N83*(CustoContabil!#REF!/CustoContabil!#REF!)*W83,0)</f>
        <v>#REF!</v>
      </c>
    </row>
    <row r="84" spans="2:25" ht="15" hidden="1" customHeight="1" x14ac:dyDescent="0.25">
      <c r="B84" s="201">
        <v>24</v>
      </c>
      <c r="C84" s="853"/>
      <c r="D84" s="854"/>
      <c r="E84" s="854"/>
      <c r="F84" s="854"/>
      <c r="G84" s="854"/>
      <c r="H84" s="176"/>
      <c r="I84" s="177"/>
      <c r="J84" s="142"/>
      <c r="K84" s="158">
        <f t="shared" si="7"/>
        <v>0</v>
      </c>
      <c r="L84" s="142"/>
      <c r="M84" s="142"/>
      <c r="N84" s="158">
        <f t="shared" si="8"/>
        <v>0</v>
      </c>
      <c r="P84" s="201">
        <f t="shared" si="9"/>
        <v>24</v>
      </c>
      <c r="Q84" s="866" t="str">
        <f t="shared" si="10"/>
        <v/>
      </c>
      <c r="R84" s="866"/>
      <c r="S84" s="866"/>
      <c r="T84" s="866"/>
      <c r="U84" s="867"/>
      <c r="V84" s="202" t="str">
        <f t="shared" si="11"/>
        <v/>
      </c>
      <c r="W84" s="203">
        <f>IF(OR(V84="",V84=0),0,(Projeto!$AD$8*((1+Projeto!$AD$8)^V84))/(((1+Projeto!$AD$8)^V84)-1))</f>
        <v>0</v>
      </c>
      <c r="X84" s="204" t="e">
        <f>IF(AND(K84&gt;0,CustoContabil!#REF!&gt;0),K84*(CustoContabil!#REF!/CustoContabil!#REF!)*W84,0)</f>
        <v>#REF!</v>
      </c>
      <c r="Y84" s="204" t="e">
        <f>IF(AND(N84&gt;0,CustoContabil!#REF!&gt;0),N84*(CustoContabil!#REF!/CustoContabil!#REF!)*W84,0)</f>
        <v>#REF!</v>
      </c>
    </row>
    <row r="85" spans="2:25" ht="15" hidden="1" customHeight="1" x14ac:dyDescent="0.25">
      <c r="B85" s="201">
        <v>25</v>
      </c>
      <c r="C85" s="853"/>
      <c r="D85" s="854"/>
      <c r="E85" s="854"/>
      <c r="F85" s="854"/>
      <c r="G85" s="854"/>
      <c r="H85" s="176"/>
      <c r="I85" s="177"/>
      <c r="J85" s="142"/>
      <c r="K85" s="158">
        <f t="shared" si="7"/>
        <v>0</v>
      </c>
      <c r="L85" s="142"/>
      <c r="M85" s="142"/>
      <c r="N85" s="158">
        <f t="shared" si="8"/>
        <v>0</v>
      </c>
      <c r="P85" s="201">
        <f t="shared" si="9"/>
        <v>25</v>
      </c>
      <c r="Q85" s="866" t="str">
        <f t="shared" si="10"/>
        <v/>
      </c>
      <c r="R85" s="866"/>
      <c r="S85" s="866"/>
      <c r="T85" s="866"/>
      <c r="U85" s="867"/>
      <c r="V85" s="202" t="str">
        <f t="shared" si="11"/>
        <v/>
      </c>
      <c r="W85" s="203">
        <f>IF(OR(V85="",V85=0),0,(Projeto!$AD$8*((1+Projeto!$AD$8)^V85))/(((1+Projeto!$AD$8)^V85)-1))</f>
        <v>0</v>
      </c>
      <c r="X85" s="204" t="e">
        <f>IF(AND(K85&gt;0,CustoContabil!#REF!&gt;0),K85*(CustoContabil!#REF!/CustoContabil!#REF!)*W85,0)</f>
        <v>#REF!</v>
      </c>
      <c r="Y85" s="204" t="e">
        <f>IF(AND(N85&gt;0,CustoContabil!#REF!&gt;0),N85*(CustoContabil!#REF!/CustoContabil!#REF!)*W85,0)</f>
        <v>#REF!</v>
      </c>
    </row>
    <row r="86" spans="2:25" ht="15" hidden="1" customHeight="1" x14ac:dyDescent="0.25">
      <c r="B86" s="201">
        <v>26</v>
      </c>
      <c r="C86" s="853"/>
      <c r="D86" s="854"/>
      <c r="E86" s="854"/>
      <c r="F86" s="854"/>
      <c r="G86" s="854"/>
      <c r="H86" s="176"/>
      <c r="I86" s="177"/>
      <c r="J86" s="142"/>
      <c r="K86" s="158">
        <f t="shared" si="7"/>
        <v>0</v>
      </c>
      <c r="L86" s="142"/>
      <c r="M86" s="142"/>
      <c r="N86" s="158">
        <f t="shared" si="8"/>
        <v>0</v>
      </c>
      <c r="P86" s="201">
        <f t="shared" si="9"/>
        <v>26</v>
      </c>
      <c r="Q86" s="866" t="str">
        <f t="shared" si="10"/>
        <v/>
      </c>
      <c r="R86" s="866"/>
      <c r="S86" s="866"/>
      <c r="T86" s="866"/>
      <c r="U86" s="867"/>
      <c r="V86" s="202" t="str">
        <f t="shared" si="11"/>
        <v/>
      </c>
      <c r="W86" s="203">
        <f>IF(OR(V86="",V86=0),0,(Projeto!$AD$8*((1+Projeto!$AD$8)^V86))/(((1+Projeto!$AD$8)^V86)-1))</f>
        <v>0</v>
      </c>
      <c r="X86" s="204" t="e">
        <f>IF(AND(K86&gt;0,CustoContabil!#REF!&gt;0),K86*(CustoContabil!#REF!/CustoContabil!#REF!)*W86,0)</f>
        <v>#REF!</v>
      </c>
      <c r="Y86" s="204" t="e">
        <f>IF(AND(N86&gt;0,CustoContabil!#REF!&gt;0),N86*(CustoContabil!#REF!/CustoContabil!#REF!)*W86,0)</f>
        <v>#REF!</v>
      </c>
    </row>
    <row r="87" spans="2:25" ht="15" hidden="1" customHeight="1" x14ac:dyDescent="0.25">
      <c r="B87" s="201">
        <v>27</v>
      </c>
      <c r="C87" s="853"/>
      <c r="D87" s="854"/>
      <c r="E87" s="854"/>
      <c r="F87" s="854"/>
      <c r="G87" s="854"/>
      <c r="H87" s="176"/>
      <c r="I87" s="177"/>
      <c r="J87" s="142"/>
      <c r="K87" s="158">
        <f t="shared" si="7"/>
        <v>0</v>
      </c>
      <c r="L87" s="142"/>
      <c r="M87" s="142"/>
      <c r="N87" s="158">
        <f t="shared" si="8"/>
        <v>0</v>
      </c>
      <c r="P87" s="201">
        <f t="shared" si="9"/>
        <v>27</v>
      </c>
      <c r="Q87" s="866" t="str">
        <f t="shared" si="10"/>
        <v/>
      </c>
      <c r="R87" s="866"/>
      <c r="S87" s="866"/>
      <c r="T87" s="866"/>
      <c r="U87" s="867"/>
      <c r="V87" s="202" t="str">
        <f t="shared" si="11"/>
        <v/>
      </c>
      <c r="W87" s="203">
        <f>IF(OR(V87="",V87=0),0,(Projeto!$AD$8*((1+Projeto!$AD$8)^V87))/(((1+Projeto!$AD$8)^V87)-1))</f>
        <v>0</v>
      </c>
      <c r="X87" s="204" t="e">
        <f>IF(AND(K87&gt;0,CustoContabil!#REF!&gt;0),K87*(CustoContabil!#REF!/CustoContabil!#REF!)*W87,0)</f>
        <v>#REF!</v>
      </c>
      <c r="Y87" s="204" t="e">
        <f>IF(AND(N87&gt;0,CustoContabil!#REF!&gt;0),N87*(CustoContabil!#REF!/CustoContabil!#REF!)*W87,0)</f>
        <v>#REF!</v>
      </c>
    </row>
    <row r="88" spans="2:25" ht="15" hidden="1" customHeight="1" x14ac:dyDescent="0.25">
      <c r="B88" s="201">
        <v>28</v>
      </c>
      <c r="C88" s="853"/>
      <c r="D88" s="854"/>
      <c r="E88" s="854"/>
      <c r="F88" s="854"/>
      <c r="G88" s="854"/>
      <c r="H88" s="176"/>
      <c r="I88" s="177"/>
      <c r="J88" s="142"/>
      <c r="K88" s="158">
        <f t="shared" si="7"/>
        <v>0</v>
      </c>
      <c r="L88" s="142"/>
      <c r="M88" s="142"/>
      <c r="N88" s="158">
        <f t="shared" si="8"/>
        <v>0</v>
      </c>
      <c r="P88" s="201">
        <f t="shared" si="9"/>
        <v>28</v>
      </c>
      <c r="Q88" s="866" t="str">
        <f t="shared" si="10"/>
        <v/>
      </c>
      <c r="R88" s="866"/>
      <c r="S88" s="866"/>
      <c r="T88" s="866"/>
      <c r="U88" s="867"/>
      <c r="V88" s="202" t="str">
        <f t="shared" si="11"/>
        <v/>
      </c>
      <c r="W88" s="203">
        <f>IF(OR(V88="",V88=0),0,(Projeto!$AD$8*((1+Projeto!$AD$8)^V88))/(((1+Projeto!$AD$8)^V88)-1))</f>
        <v>0</v>
      </c>
      <c r="X88" s="204" t="e">
        <f>IF(AND(K88&gt;0,CustoContabil!#REF!&gt;0),K88*(CustoContabil!#REF!/CustoContabil!#REF!)*W88,0)</f>
        <v>#REF!</v>
      </c>
      <c r="Y88" s="204" t="e">
        <f>IF(AND(N88&gt;0,CustoContabil!#REF!&gt;0),N88*(CustoContabil!#REF!/CustoContabil!#REF!)*W88,0)</f>
        <v>#REF!</v>
      </c>
    </row>
    <row r="89" spans="2:25" ht="15" hidden="1" customHeight="1" x14ac:dyDescent="0.25">
      <c r="B89" s="201">
        <v>29</v>
      </c>
      <c r="C89" s="853"/>
      <c r="D89" s="854"/>
      <c r="E89" s="854"/>
      <c r="F89" s="854"/>
      <c r="G89" s="854"/>
      <c r="H89" s="176"/>
      <c r="I89" s="177"/>
      <c r="J89" s="142"/>
      <c r="K89" s="158">
        <f t="shared" si="7"/>
        <v>0</v>
      </c>
      <c r="L89" s="142"/>
      <c r="M89" s="142"/>
      <c r="N89" s="158">
        <f t="shared" si="8"/>
        <v>0</v>
      </c>
      <c r="P89" s="201">
        <f t="shared" si="9"/>
        <v>29</v>
      </c>
      <c r="Q89" s="866" t="str">
        <f t="shared" si="10"/>
        <v/>
      </c>
      <c r="R89" s="866"/>
      <c r="S89" s="866"/>
      <c r="T89" s="866"/>
      <c r="U89" s="867"/>
      <c r="V89" s="202" t="str">
        <f t="shared" si="11"/>
        <v/>
      </c>
      <c r="W89" s="203">
        <f>IF(OR(V89="",V89=0),0,(Projeto!$AD$8*((1+Projeto!$AD$8)^V89))/(((1+Projeto!$AD$8)^V89)-1))</f>
        <v>0</v>
      </c>
      <c r="X89" s="204" t="e">
        <f>IF(AND(K89&gt;0,CustoContabil!#REF!&gt;0),K89*(CustoContabil!#REF!/CustoContabil!#REF!)*W89,0)</f>
        <v>#REF!</v>
      </c>
      <c r="Y89" s="204" t="e">
        <f>IF(AND(N89&gt;0,CustoContabil!#REF!&gt;0),N89*(CustoContabil!#REF!/CustoContabil!#REF!)*W89,0)</f>
        <v>#REF!</v>
      </c>
    </row>
    <row r="90" spans="2:25" ht="15" hidden="1" customHeight="1" x14ac:dyDescent="0.25">
      <c r="B90" s="201">
        <v>30</v>
      </c>
      <c r="C90" s="853"/>
      <c r="D90" s="854"/>
      <c r="E90" s="854"/>
      <c r="F90" s="854"/>
      <c r="G90" s="854"/>
      <c r="H90" s="176"/>
      <c r="I90" s="177"/>
      <c r="J90" s="142"/>
      <c r="K90" s="158">
        <f t="shared" si="7"/>
        <v>0</v>
      </c>
      <c r="L90" s="142"/>
      <c r="M90" s="142"/>
      <c r="N90" s="158">
        <f t="shared" si="8"/>
        <v>0</v>
      </c>
      <c r="P90" s="201">
        <f t="shared" si="9"/>
        <v>30</v>
      </c>
      <c r="Q90" s="866" t="str">
        <f t="shared" si="10"/>
        <v/>
      </c>
      <c r="R90" s="866"/>
      <c r="S90" s="866"/>
      <c r="T90" s="866"/>
      <c r="U90" s="867"/>
      <c r="V90" s="202" t="str">
        <f t="shared" si="11"/>
        <v/>
      </c>
      <c r="W90" s="203">
        <f>IF(OR(V90="",V90=0),0,(Projeto!$AD$8*((1+Projeto!$AD$8)^V90))/(((1+Projeto!$AD$8)^V90)-1))</f>
        <v>0</v>
      </c>
      <c r="X90" s="204" t="e">
        <f>IF(AND(K90&gt;0,CustoContabil!#REF!&gt;0),K90*(CustoContabil!#REF!/CustoContabil!#REF!)*W90,0)</f>
        <v>#REF!</v>
      </c>
      <c r="Y90" s="204" t="e">
        <f>IF(AND(N90&gt;0,CustoContabil!#REF!&gt;0),N90*(CustoContabil!#REF!/CustoContabil!#REF!)*W90,0)</f>
        <v>#REF!</v>
      </c>
    </row>
    <row r="91" spans="2:25" ht="15" hidden="1" customHeight="1" x14ac:dyDescent="0.25">
      <c r="B91" s="201">
        <v>31</v>
      </c>
      <c r="C91" s="853"/>
      <c r="D91" s="854"/>
      <c r="E91" s="854"/>
      <c r="F91" s="854"/>
      <c r="G91" s="854"/>
      <c r="H91" s="176"/>
      <c r="I91" s="177"/>
      <c r="J91" s="142"/>
      <c r="K91" s="158">
        <f t="shared" si="7"/>
        <v>0</v>
      </c>
      <c r="L91" s="142"/>
      <c r="M91" s="142"/>
      <c r="N91" s="158">
        <f t="shared" si="8"/>
        <v>0</v>
      </c>
      <c r="P91" s="201">
        <f t="shared" si="9"/>
        <v>31</v>
      </c>
      <c r="Q91" s="866" t="str">
        <f t="shared" si="10"/>
        <v/>
      </c>
      <c r="R91" s="866"/>
      <c r="S91" s="866"/>
      <c r="T91" s="866"/>
      <c r="U91" s="867"/>
      <c r="V91" s="202" t="str">
        <f t="shared" si="11"/>
        <v/>
      </c>
      <c r="W91" s="203">
        <f>IF(OR(V91="",V91=0),0,(Projeto!$AD$8*((1+Projeto!$AD$8)^V91))/(((1+Projeto!$AD$8)^V91)-1))</f>
        <v>0</v>
      </c>
      <c r="X91" s="204" t="e">
        <f>IF(AND(K91&gt;0,CustoContabil!#REF!&gt;0),K91*(CustoContabil!#REF!/CustoContabil!#REF!)*W91,0)</f>
        <v>#REF!</v>
      </c>
      <c r="Y91" s="204" t="e">
        <f>IF(AND(N91&gt;0,CustoContabil!#REF!&gt;0),N91*(CustoContabil!#REF!/CustoContabil!#REF!)*W91,0)</f>
        <v>#REF!</v>
      </c>
    </row>
    <row r="92" spans="2:25" ht="15" hidden="1" customHeight="1" x14ac:dyDescent="0.25">
      <c r="B92" s="201">
        <v>32</v>
      </c>
      <c r="C92" s="853"/>
      <c r="D92" s="854"/>
      <c r="E92" s="854"/>
      <c r="F92" s="854"/>
      <c r="G92" s="854"/>
      <c r="H92" s="176"/>
      <c r="I92" s="177"/>
      <c r="J92" s="142"/>
      <c r="K92" s="158">
        <f t="shared" si="7"/>
        <v>0</v>
      </c>
      <c r="L92" s="142"/>
      <c r="M92" s="142"/>
      <c r="N92" s="158">
        <f t="shared" si="8"/>
        <v>0</v>
      </c>
      <c r="P92" s="201">
        <f t="shared" si="9"/>
        <v>32</v>
      </c>
      <c r="Q92" s="866" t="str">
        <f t="shared" si="10"/>
        <v/>
      </c>
      <c r="R92" s="866"/>
      <c r="S92" s="866"/>
      <c r="T92" s="866"/>
      <c r="U92" s="867"/>
      <c r="V92" s="202" t="str">
        <f t="shared" si="11"/>
        <v/>
      </c>
      <c r="W92" s="203">
        <f>IF(OR(V92="",V92=0),0,(Projeto!$AD$8*((1+Projeto!$AD$8)^V92))/(((1+Projeto!$AD$8)^V92)-1))</f>
        <v>0</v>
      </c>
      <c r="X92" s="204" t="e">
        <f>IF(AND(K92&gt;0,CustoContabil!#REF!&gt;0),K92*(CustoContabil!#REF!/CustoContabil!#REF!)*W92,0)</f>
        <v>#REF!</v>
      </c>
      <c r="Y92" s="204" t="e">
        <f>IF(AND(N92&gt;0,CustoContabil!#REF!&gt;0),N92*(CustoContabil!#REF!/CustoContabil!#REF!)*W92,0)</f>
        <v>#REF!</v>
      </c>
    </row>
    <row r="93" spans="2:25" ht="15" hidden="1" customHeight="1" x14ac:dyDescent="0.25">
      <c r="B93" s="201">
        <v>33</v>
      </c>
      <c r="C93" s="853"/>
      <c r="D93" s="854"/>
      <c r="E93" s="854"/>
      <c r="F93" s="854"/>
      <c r="G93" s="854"/>
      <c r="H93" s="176"/>
      <c r="I93" s="177"/>
      <c r="J93" s="142"/>
      <c r="K93" s="158">
        <f t="shared" si="7"/>
        <v>0</v>
      </c>
      <c r="L93" s="142"/>
      <c r="M93" s="142"/>
      <c r="N93" s="158">
        <f t="shared" si="8"/>
        <v>0</v>
      </c>
      <c r="P93" s="201">
        <f t="shared" si="9"/>
        <v>33</v>
      </c>
      <c r="Q93" s="866" t="str">
        <f t="shared" si="10"/>
        <v/>
      </c>
      <c r="R93" s="866"/>
      <c r="S93" s="866"/>
      <c r="T93" s="866"/>
      <c r="U93" s="867"/>
      <c r="V93" s="202" t="str">
        <f t="shared" si="11"/>
        <v/>
      </c>
      <c r="W93" s="203">
        <f>IF(OR(V93="",V93=0),0,(Projeto!$AD$8*((1+Projeto!$AD$8)^V93))/(((1+Projeto!$AD$8)^V93)-1))</f>
        <v>0</v>
      </c>
      <c r="X93" s="204" t="e">
        <f>IF(AND(K93&gt;0,CustoContabil!#REF!&gt;0),K93*(CustoContabil!#REF!/CustoContabil!#REF!)*W93,0)</f>
        <v>#REF!</v>
      </c>
      <c r="Y93" s="204" t="e">
        <f>IF(AND(N93&gt;0,CustoContabil!#REF!&gt;0),N93*(CustoContabil!#REF!/CustoContabil!#REF!)*W93,0)</f>
        <v>#REF!</v>
      </c>
    </row>
    <row r="94" spans="2:25" ht="15" hidden="1" customHeight="1" x14ac:dyDescent="0.25">
      <c r="B94" s="201">
        <v>34</v>
      </c>
      <c r="C94" s="853"/>
      <c r="D94" s="854"/>
      <c r="E94" s="854"/>
      <c r="F94" s="854"/>
      <c r="G94" s="854"/>
      <c r="H94" s="176"/>
      <c r="I94" s="177"/>
      <c r="J94" s="142"/>
      <c r="K94" s="158">
        <f t="shared" si="7"/>
        <v>0</v>
      </c>
      <c r="L94" s="142"/>
      <c r="M94" s="142"/>
      <c r="N94" s="158">
        <f t="shared" si="8"/>
        <v>0</v>
      </c>
      <c r="P94" s="201">
        <f t="shared" si="9"/>
        <v>34</v>
      </c>
      <c r="Q94" s="866" t="str">
        <f t="shared" si="10"/>
        <v/>
      </c>
      <c r="R94" s="866"/>
      <c r="S94" s="866"/>
      <c r="T94" s="866"/>
      <c r="U94" s="867"/>
      <c r="V94" s="202" t="str">
        <f t="shared" si="11"/>
        <v/>
      </c>
      <c r="W94" s="203">
        <f>IF(OR(V94="",V94=0),0,(Projeto!$AD$8*((1+Projeto!$AD$8)^V94))/(((1+Projeto!$AD$8)^V94)-1))</f>
        <v>0</v>
      </c>
      <c r="X94" s="204" t="e">
        <f>IF(AND(K94&gt;0,CustoContabil!#REF!&gt;0),K94*(CustoContabil!#REF!/CustoContabil!#REF!)*W94,0)</f>
        <v>#REF!</v>
      </c>
      <c r="Y94" s="204" t="e">
        <f>IF(AND(N94&gt;0,CustoContabil!#REF!&gt;0),N94*(CustoContabil!#REF!/CustoContabil!#REF!)*W94,0)</f>
        <v>#REF!</v>
      </c>
    </row>
    <row r="95" spans="2:25" ht="15" hidden="1" customHeight="1" x14ac:dyDescent="0.25">
      <c r="B95" s="201">
        <v>35</v>
      </c>
      <c r="C95" s="853"/>
      <c r="D95" s="854"/>
      <c r="E95" s="854"/>
      <c r="F95" s="854"/>
      <c r="G95" s="854"/>
      <c r="H95" s="176"/>
      <c r="I95" s="177"/>
      <c r="J95" s="142"/>
      <c r="K95" s="158">
        <f t="shared" si="7"/>
        <v>0</v>
      </c>
      <c r="L95" s="142"/>
      <c r="M95" s="142"/>
      <c r="N95" s="158">
        <f t="shared" si="8"/>
        <v>0</v>
      </c>
      <c r="P95" s="201">
        <f t="shared" si="9"/>
        <v>35</v>
      </c>
      <c r="Q95" s="866" t="str">
        <f t="shared" si="10"/>
        <v/>
      </c>
      <c r="R95" s="866"/>
      <c r="S95" s="866"/>
      <c r="T95" s="866"/>
      <c r="U95" s="867"/>
      <c r="V95" s="202" t="str">
        <f t="shared" si="11"/>
        <v/>
      </c>
      <c r="W95" s="203">
        <f>IF(OR(V95="",V95=0),0,(Projeto!$AD$8*((1+Projeto!$AD$8)^V95))/(((1+Projeto!$AD$8)^V95)-1))</f>
        <v>0</v>
      </c>
      <c r="X95" s="204" t="e">
        <f>IF(AND(K95&gt;0,CustoContabil!#REF!&gt;0),K95*(CustoContabil!#REF!/CustoContabil!#REF!)*W95,0)</f>
        <v>#REF!</v>
      </c>
      <c r="Y95" s="204" t="e">
        <f>IF(AND(N95&gt;0,CustoContabil!#REF!&gt;0),N95*(CustoContabil!#REF!/CustoContabil!#REF!)*W95,0)</f>
        <v>#REF!</v>
      </c>
    </row>
    <row r="96" spans="2:25" ht="15" hidden="1" customHeight="1" x14ac:dyDescent="0.25">
      <c r="B96" s="201">
        <v>36</v>
      </c>
      <c r="C96" s="853"/>
      <c r="D96" s="854"/>
      <c r="E96" s="854"/>
      <c r="F96" s="854"/>
      <c r="G96" s="854"/>
      <c r="H96" s="176"/>
      <c r="I96" s="177"/>
      <c r="J96" s="142"/>
      <c r="K96" s="158">
        <f t="shared" si="7"/>
        <v>0</v>
      </c>
      <c r="L96" s="142"/>
      <c r="M96" s="142"/>
      <c r="N96" s="158">
        <f t="shared" si="8"/>
        <v>0</v>
      </c>
      <c r="P96" s="201">
        <f t="shared" si="9"/>
        <v>36</v>
      </c>
      <c r="Q96" s="866" t="str">
        <f t="shared" si="10"/>
        <v/>
      </c>
      <c r="R96" s="866"/>
      <c r="S96" s="866"/>
      <c r="T96" s="866"/>
      <c r="U96" s="867"/>
      <c r="V96" s="202" t="str">
        <f t="shared" si="11"/>
        <v/>
      </c>
      <c r="W96" s="203">
        <f>IF(OR(V96="",V96=0),0,(Projeto!$AD$8*((1+Projeto!$AD$8)^V96))/(((1+Projeto!$AD$8)^V96)-1))</f>
        <v>0</v>
      </c>
      <c r="X96" s="204" t="e">
        <f>IF(AND(K96&gt;0,CustoContabil!#REF!&gt;0),K96*(CustoContabil!#REF!/CustoContabil!#REF!)*W96,0)</f>
        <v>#REF!</v>
      </c>
      <c r="Y96" s="204" t="e">
        <f>IF(AND(N96&gt;0,CustoContabil!#REF!&gt;0),N96*(CustoContabil!#REF!/CustoContabil!#REF!)*W96,0)</f>
        <v>#REF!</v>
      </c>
    </row>
    <row r="97" spans="2:25" ht="15" hidden="1" customHeight="1" x14ac:dyDescent="0.25">
      <c r="B97" s="201">
        <v>37</v>
      </c>
      <c r="C97" s="853"/>
      <c r="D97" s="854"/>
      <c r="E97" s="854"/>
      <c r="F97" s="854"/>
      <c r="G97" s="854"/>
      <c r="H97" s="176"/>
      <c r="I97" s="177"/>
      <c r="J97" s="142"/>
      <c r="K97" s="158">
        <f t="shared" si="7"/>
        <v>0</v>
      </c>
      <c r="L97" s="142"/>
      <c r="M97" s="142"/>
      <c r="N97" s="158">
        <f t="shared" si="8"/>
        <v>0</v>
      </c>
      <c r="P97" s="201">
        <f t="shared" si="9"/>
        <v>37</v>
      </c>
      <c r="Q97" s="866" t="str">
        <f t="shared" si="10"/>
        <v/>
      </c>
      <c r="R97" s="866"/>
      <c r="S97" s="866"/>
      <c r="T97" s="866"/>
      <c r="U97" s="867"/>
      <c r="V97" s="202" t="str">
        <f t="shared" si="11"/>
        <v/>
      </c>
      <c r="W97" s="203">
        <f>IF(OR(V97="",V97=0),0,(Projeto!$AD$8*((1+Projeto!$AD$8)^V97))/(((1+Projeto!$AD$8)^V97)-1))</f>
        <v>0</v>
      </c>
      <c r="X97" s="204" t="e">
        <f>IF(AND(K97&gt;0,CustoContabil!#REF!&gt;0),K97*(CustoContabil!#REF!/CustoContabil!#REF!)*W97,0)</f>
        <v>#REF!</v>
      </c>
      <c r="Y97" s="204" t="e">
        <f>IF(AND(N97&gt;0,CustoContabil!#REF!&gt;0),N97*(CustoContabil!#REF!/CustoContabil!#REF!)*W97,0)</f>
        <v>#REF!</v>
      </c>
    </row>
    <row r="98" spans="2:25" ht="15" hidden="1" customHeight="1" x14ac:dyDescent="0.25">
      <c r="B98" s="201">
        <v>38</v>
      </c>
      <c r="C98" s="853"/>
      <c r="D98" s="854"/>
      <c r="E98" s="854"/>
      <c r="F98" s="854"/>
      <c r="G98" s="854"/>
      <c r="H98" s="176"/>
      <c r="I98" s="177"/>
      <c r="J98" s="142"/>
      <c r="K98" s="158">
        <f t="shared" si="7"/>
        <v>0</v>
      </c>
      <c r="L98" s="142"/>
      <c r="M98" s="142"/>
      <c r="N98" s="158">
        <f t="shared" si="8"/>
        <v>0</v>
      </c>
      <c r="P98" s="201">
        <f t="shared" si="9"/>
        <v>38</v>
      </c>
      <c r="Q98" s="866" t="str">
        <f t="shared" si="10"/>
        <v/>
      </c>
      <c r="R98" s="866"/>
      <c r="S98" s="866"/>
      <c r="T98" s="866"/>
      <c r="U98" s="867"/>
      <c r="V98" s="202" t="str">
        <f t="shared" si="11"/>
        <v/>
      </c>
      <c r="W98" s="203">
        <f>IF(OR(V98="",V98=0),0,(Projeto!$AD$8*((1+Projeto!$AD$8)^V98))/(((1+Projeto!$AD$8)^V98)-1))</f>
        <v>0</v>
      </c>
      <c r="X98" s="204" t="e">
        <f>IF(AND(K98&gt;0,CustoContabil!#REF!&gt;0),K98*(CustoContabil!#REF!/CustoContabil!#REF!)*W98,0)</f>
        <v>#REF!</v>
      </c>
      <c r="Y98" s="204" t="e">
        <f>IF(AND(N98&gt;0,CustoContabil!#REF!&gt;0),N98*(CustoContabil!#REF!/CustoContabil!#REF!)*W98,0)</f>
        <v>#REF!</v>
      </c>
    </row>
    <row r="99" spans="2:25" ht="15" hidden="1" customHeight="1" x14ac:dyDescent="0.25">
      <c r="B99" s="201">
        <v>39</v>
      </c>
      <c r="C99" s="853"/>
      <c r="D99" s="854"/>
      <c r="E99" s="854"/>
      <c r="F99" s="854"/>
      <c r="G99" s="854"/>
      <c r="H99" s="176"/>
      <c r="I99" s="177"/>
      <c r="J99" s="142"/>
      <c r="K99" s="158">
        <f t="shared" si="7"/>
        <v>0</v>
      </c>
      <c r="L99" s="142"/>
      <c r="M99" s="142"/>
      <c r="N99" s="158">
        <f t="shared" si="8"/>
        <v>0</v>
      </c>
      <c r="P99" s="201">
        <f t="shared" si="9"/>
        <v>39</v>
      </c>
      <c r="Q99" s="866" t="str">
        <f t="shared" si="10"/>
        <v/>
      </c>
      <c r="R99" s="866"/>
      <c r="S99" s="866"/>
      <c r="T99" s="866"/>
      <c r="U99" s="867"/>
      <c r="V99" s="202" t="str">
        <f t="shared" si="11"/>
        <v/>
      </c>
      <c r="W99" s="203">
        <f>IF(OR(V99="",V99=0),0,(Projeto!$AD$8*((1+Projeto!$AD$8)^V99))/(((1+Projeto!$AD$8)^V99)-1))</f>
        <v>0</v>
      </c>
      <c r="X99" s="204" t="e">
        <f>IF(AND(K99&gt;0,CustoContabil!#REF!&gt;0),K99*(CustoContabil!#REF!/CustoContabil!#REF!)*W99,0)</f>
        <v>#REF!</v>
      </c>
      <c r="Y99" s="204" t="e">
        <f>IF(AND(N99&gt;0,CustoContabil!#REF!&gt;0),N99*(CustoContabil!#REF!/CustoContabil!#REF!)*W99,0)</f>
        <v>#REF!</v>
      </c>
    </row>
    <row r="100" spans="2:25" ht="15" hidden="1" customHeight="1" x14ac:dyDescent="0.25">
      <c r="B100" s="201">
        <v>40</v>
      </c>
      <c r="C100" s="853"/>
      <c r="D100" s="854"/>
      <c r="E100" s="854"/>
      <c r="F100" s="854"/>
      <c r="G100" s="854"/>
      <c r="H100" s="176"/>
      <c r="I100" s="177"/>
      <c r="J100" s="142"/>
      <c r="K100" s="158">
        <f t="shared" si="7"/>
        <v>0</v>
      </c>
      <c r="L100" s="142"/>
      <c r="M100" s="142"/>
      <c r="N100" s="158">
        <f t="shared" si="8"/>
        <v>0</v>
      </c>
      <c r="P100" s="201">
        <f t="shared" si="9"/>
        <v>40</v>
      </c>
      <c r="Q100" s="866" t="str">
        <f t="shared" si="10"/>
        <v/>
      </c>
      <c r="R100" s="866"/>
      <c r="S100" s="866"/>
      <c r="T100" s="866"/>
      <c r="U100" s="867"/>
      <c r="V100" s="202" t="str">
        <f t="shared" si="11"/>
        <v/>
      </c>
      <c r="W100" s="203">
        <f>IF(OR(V100="",V100=0),0,(Projeto!$AD$8*((1+Projeto!$AD$8)^V100))/(((1+Projeto!$AD$8)^V100)-1))</f>
        <v>0</v>
      </c>
      <c r="X100" s="204" t="e">
        <f>IF(AND(K100&gt;0,CustoContabil!#REF!&gt;0),K100*(CustoContabil!#REF!/CustoContabil!#REF!)*W100,0)</f>
        <v>#REF!</v>
      </c>
      <c r="Y100" s="204" t="e">
        <f>IF(AND(N100&gt;0,CustoContabil!#REF!&gt;0),N100*(CustoContabil!#REF!/CustoContabil!#REF!)*W100,0)</f>
        <v>#REF!</v>
      </c>
    </row>
    <row r="101" spans="2:25" ht="15" hidden="1" customHeight="1" x14ac:dyDescent="0.25">
      <c r="B101" s="201">
        <v>41</v>
      </c>
      <c r="C101" s="853"/>
      <c r="D101" s="854"/>
      <c r="E101" s="854"/>
      <c r="F101" s="854"/>
      <c r="G101" s="854"/>
      <c r="H101" s="176"/>
      <c r="I101" s="177"/>
      <c r="J101" s="142"/>
      <c r="K101" s="158">
        <f t="shared" si="7"/>
        <v>0</v>
      </c>
      <c r="L101" s="142"/>
      <c r="M101" s="142"/>
      <c r="N101" s="158">
        <f t="shared" si="8"/>
        <v>0</v>
      </c>
      <c r="P101" s="201">
        <f t="shared" si="9"/>
        <v>41</v>
      </c>
      <c r="Q101" s="866" t="str">
        <f t="shared" si="10"/>
        <v/>
      </c>
      <c r="R101" s="866"/>
      <c r="S101" s="866"/>
      <c r="T101" s="866"/>
      <c r="U101" s="867"/>
      <c r="V101" s="202" t="str">
        <f t="shared" si="11"/>
        <v/>
      </c>
      <c r="W101" s="203">
        <f>IF(OR(V101="",V101=0),0,(Projeto!$AD$8*((1+Projeto!$AD$8)^V101))/(((1+Projeto!$AD$8)^V101)-1))</f>
        <v>0</v>
      </c>
      <c r="X101" s="204" t="e">
        <f>IF(AND(K101&gt;0,CustoContabil!#REF!&gt;0),K101*(CustoContabil!#REF!/CustoContabil!#REF!)*W101,0)</f>
        <v>#REF!</v>
      </c>
      <c r="Y101" s="204" t="e">
        <f>IF(AND(N101&gt;0,CustoContabil!#REF!&gt;0),N101*(CustoContabil!#REF!/CustoContabil!#REF!)*W101,0)</f>
        <v>#REF!</v>
      </c>
    </row>
    <row r="102" spans="2:25" ht="15" hidden="1" customHeight="1" x14ac:dyDescent="0.25">
      <c r="B102" s="201">
        <v>42</v>
      </c>
      <c r="C102" s="853"/>
      <c r="D102" s="854"/>
      <c r="E102" s="854"/>
      <c r="F102" s="854"/>
      <c r="G102" s="854"/>
      <c r="H102" s="176"/>
      <c r="I102" s="177"/>
      <c r="J102" s="142"/>
      <c r="K102" s="158">
        <f t="shared" si="7"/>
        <v>0</v>
      </c>
      <c r="L102" s="142"/>
      <c r="M102" s="142"/>
      <c r="N102" s="158">
        <f t="shared" si="8"/>
        <v>0</v>
      </c>
      <c r="P102" s="201">
        <f t="shared" si="9"/>
        <v>42</v>
      </c>
      <c r="Q102" s="866" t="str">
        <f t="shared" si="10"/>
        <v/>
      </c>
      <c r="R102" s="866"/>
      <c r="S102" s="866"/>
      <c r="T102" s="866"/>
      <c r="U102" s="867"/>
      <c r="V102" s="202" t="str">
        <f t="shared" si="11"/>
        <v/>
      </c>
      <c r="W102" s="203">
        <f>IF(OR(V102="",V102=0),0,(Projeto!$AD$8*((1+Projeto!$AD$8)^V102))/(((1+Projeto!$AD$8)^V102)-1))</f>
        <v>0</v>
      </c>
      <c r="X102" s="204" t="e">
        <f>IF(AND(K102&gt;0,CustoContabil!#REF!&gt;0),K102*(CustoContabil!#REF!/CustoContabil!#REF!)*W102,0)</f>
        <v>#REF!</v>
      </c>
      <c r="Y102" s="204" t="e">
        <f>IF(AND(N102&gt;0,CustoContabil!#REF!&gt;0),N102*(CustoContabil!#REF!/CustoContabil!#REF!)*W102,0)</f>
        <v>#REF!</v>
      </c>
    </row>
    <row r="103" spans="2:25" ht="15" hidden="1" customHeight="1" x14ac:dyDescent="0.25">
      <c r="B103" s="201">
        <v>43</v>
      </c>
      <c r="C103" s="853"/>
      <c r="D103" s="854"/>
      <c r="E103" s="854"/>
      <c r="F103" s="854"/>
      <c r="G103" s="854"/>
      <c r="H103" s="176"/>
      <c r="I103" s="177"/>
      <c r="J103" s="142"/>
      <c r="K103" s="158">
        <f t="shared" si="7"/>
        <v>0</v>
      </c>
      <c r="L103" s="142"/>
      <c r="M103" s="142"/>
      <c r="N103" s="158">
        <f t="shared" si="8"/>
        <v>0</v>
      </c>
      <c r="P103" s="201">
        <f t="shared" si="9"/>
        <v>43</v>
      </c>
      <c r="Q103" s="866" t="str">
        <f t="shared" si="10"/>
        <v/>
      </c>
      <c r="R103" s="866"/>
      <c r="S103" s="866"/>
      <c r="T103" s="866"/>
      <c r="U103" s="867"/>
      <c r="V103" s="202" t="str">
        <f t="shared" si="11"/>
        <v/>
      </c>
      <c r="W103" s="203">
        <f>IF(OR(V103="",V103=0),0,(Projeto!$AD$8*((1+Projeto!$AD$8)^V103))/(((1+Projeto!$AD$8)^V103)-1))</f>
        <v>0</v>
      </c>
      <c r="X103" s="204" t="e">
        <f>IF(AND(K103&gt;0,CustoContabil!#REF!&gt;0),K103*(CustoContabil!#REF!/CustoContabil!#REF!)*W103,0)</f>
        <v>#REF!</v>
      </c>
      <c r="Y103" s="204" t="e">
        <f>IF(AND(N103&gt;0,CustoContabil!#REF!&gt;0),N103*(CustoContabil!#REF!/CustoContabil!#REF!)*W103,0)</f>
        <v>#REF!</v>
      </c>
    </row>
    <row r="104" spans="2:25" ht="15" hidden="1" customHeight="1" x14ac:dyDescent="0.25">
      <c r="B104" s="201">
        <v>44</v>
      </c>
      <c r="C104" s="853"/>
      <c r="D104" s="854"/>
      <c r="E104" s="854"/>
      <c r="F104" s="854"/>
      <c r="G104" s="854"/>
      <c r="H104" s="176"/>
      <c r="I104" s="177"/>
      <c r="J104" s="142"/>
      <c r="K104" s="158">
        <f t="shared" si="7"/>
        <v>0</v>
      </c>
      <c r="L104" s="142"/>
      <c r="M104" s="142"/>
      <c r="N104" s="158">
        <f t="shared" si="8"/>
        <v>0</v>
      </c>
      <c r="P104" s="201">
        <f t="shared" si="9"/>
        <v>44</v>
      </c>
      <c r="Q104" s="866" t="str">
        <f t="shared" si="10"/>
        <v/>
      </c>
      <c r="R104" s="866"/>
      <c r="S104" s="866"/>
      <c r="T104" s="866"/>
      <c r="U104" s="867"/>
      <c r="V104" s="202" t="str">
        <f t="shared" si="11"/>
        <v/>
      </c>
      <c r="W104" s="203">
        <f>IF(OR(V104="",V104=0),0,(Projeto!$AD$8*((1+Projeto!$AD$8)^V104))/(((1+Projeto!$AD$8)^V104)-1))</f>
        <v>0</v>
      </c>
      <c r="X104" s="204" t="e">
        <f>IF(AND(K104&gt;0,CustoContabil!#REF!&gt;0),K104*(CustoContabil!#REF!/CustoContabil!#REF!)*W104,0)</f>
        <v>#REF!</v>
      </c>
      <c r="Y104" s="204" t="e">
        <f>IF(AND(N104&gt;0,CustoContabil!#REF!&gt;0),N104*(CustoContabil!#REF!/CustoContabil!#REF!)*W104,0)</f>
        <v>#REF!</v>
      </c>
    </row>
    <row r="105" spans="2:25" ht="15" hidden="1" customHeight="1" x14ac:dyDescent="0.25">
      <c r="B105" s="201">
        <v>45</v>
      </c>
      <c r="C105" s="853"/>
      <c r="D105" s="854"/>
      <c r="E105" s="854"/>
      <c r="F105" s="854"/>
      <c r="G105" s="854"/>
      <c r="H105" s="176"/>
      <c r="I105" s="177"/>
      <c r="J105" s="142"/>
      <c r="K105" s="158">
        <f t="shared" si="7"/>
        <v>0</v>
      </c>
      <c r="L105" s="142"/>
      <c r="M105" s="142"/>
      <c r="N105" s="158">
        <f t="shared" si="8"/>
        <v>0</v>
      </c>
      <c r="P105" s="201">
        <f t="shared" si="9"/>
        <v>45</v>
      </c>
      <c r="Q105" s="866" t="str">
        <f t="shared" si="10"/>
        <v/>
      </c>
      <c r="R105" s="866"/>
      <c r="S105" s="866"/>
      <c r="T105" s="866"/>
      <c r="U105" s="867"/>
      <c r="V105" s="202" t="str">
        <f t="shared" si="11"/>
        <v/>
      </c>
      <c r="W105" s="203">
        <f>IF(OR(V105="",V105=0),0,(Projeto!$AD$8*((1+Projeto!$AD$8)^V105))/(((1+Projeto!$AD$8)^V105)-1))</f>
        <v>0</v>
      </c>
      <c r="X105" s="204" t="e">
        <f>IF(AND(K105&gt;0,CustoContabil!#REF!&gt;0),K105*(CustoContabil!#REF!/CustoContabil!#REF!)*W105,0)</f>
        <v>#REF!</v>
      </c>
      <c r="Y105" s="204" t="e">
        <f>IF(AND(N105&gt;0,CustoContabil!#REF!&gt;0),N105*(CustoContabil!#REF!/CustoContabil!#REF!)*W105,0)</f>
        <v>#REF!</v>
      </c>
    </row>
    <row r="106" spans="2:25" ht="15" hidden="1" customHeight="1" x14ac:dyDescent="0.25">
      <c r="B106" s="201">
        <v>46</v>
      </c>
      <c r="C106" s="853"/>
      <c r="D106" s="854"/>
      <c r="E106" s="854"/>
      <c r="F106" s="854"/>
      <c r="G106" s="854"/>
      <c r="H106" s="176"/>
      <c r="I106" s="177"/>
      <c r="J106" s="142"/>
      <c r="K106" s="158">
        <f t="shared" si="7"/>
        <v>0</v>
      </c>
      <c r="L106" s="142"/>
      <c r="M106" s="142"/>
      <c r="N106" s="158">
        <f t="shared" si="8"/>
        <v>0</v>
      </c>
      <c r="P106" s="201">
        <f t="shared" si="9"/>
        <v>46</v>
      </c>
      <c r="Q106" s="866" t="str">
        <f t="shared" si="10"/>
        <v/>
      </c>
      <c r="R106" s="866"/>
      <c r="S106" s="866"/>
      <c r="T106" s="866"/>
      <c r="U106" s="867"/>
      <c r="V106" s="202" t="str">
        <f t="shared" si="11"/>
        <v/>
      </c>
      <c r="W106" s="203">
        <f>IF(OR(V106="",V106=0),0,(Projeto!$AD$8*((1+Projeto!$AD$8)^V106))/(((1+Projeto!$AD$8)^V106)-1))</f>
        <v>0</v>
      </c>
      <c r="X106" s="204" t="e">
        <f>IF(AND(K106&gt;0,CustoContabil!#REF!&gt;0),K106*(CustoContabil!#REF!/CustoContabil!#REF!)*W106,0)</f>
        <v>#REF!</v>
      </c>
      <c r="Y106" s="204" t="e">
        <f>IF(AND(N106&gt;0,CustoContabil!#REF!&gt;0),N106*(CustoContabil!#REF!/CustoContabil!#REF!)*W106,0)</f>
        <v>#REF!</v>
      </c>
    </row>
    <row r="107" spans="2:25" ht="15" hidden="1" customHeight="1" x14ac:dyDescent="0.25">
      <c r="B107" s="201">
        <v>47</v>
      </c>
      <c r="C107" s="853"/>
      <c r="D107" s="854"/>
      <c r="E107" s="854"/>
      <c r="F107" s="854"/>
      <c r="G107" s="854"/>
      <c r="H107" s="176"/>
      <c r="I107" s="177"/>
      <c r="J107" s="142"/>
      <c r="K107" s="158">
        <f t="shared" si="7"/>
        <v>0</v>
      </c>
      <c r="L107" s="142"/>
      <c r="M107" s="142"/>
      <c r="N107" s="158">
        <f t="shared" si="8"/>
        <v>0</v>
      </c>
      <c r="P107" s="201">
        <f t="shared" si="9"/>
        <v>47</v>
      </c>
      <c r="Q107" s="866" t="str">
        <f t="shared" si="10"/>
        <v/>
      </c>
      <c r="R107" s="866"/>
      <c r="S107" s="866"/>
      <c r="T107" s="866"/>
      <c r="U107" s="867"/>
      <c r="V107" s="202" t="str">
        <f t="shared" si="11"/>
        <v/>
      </c>
      <c r="W107" s="203">
        <f>IF(OR(V107="",V107=0),0,(Projeto!$AD$8*((1+Projeto!$AD$8)^V107))/(((1+Projeto!$AD$8)^V107)-1))</f>
        <v>0</v>
      </c>
      <c r="X107" s="204" t="e">
        <f>IF(AND(K107&gt;0,CustoContabil!#REF!&gt;0),K107*(CustoContabil!#REF!/CustoContabil!#REF!)*W107,0)</f>
        <v>#REF!</v>
      </c>
      <c r="Y107" s="204" t="e">
        <f>IF(AND(N107&gt;0,CustoContabil!#REF!&gt;0),N107*(CustoContabil!#REF!/CustoContabil!#REF!)*W107,0)</f>
        <v>#REF!</v>
      </c>
    </row>
    <row r="108" spans="2:25" ht="15" hidden="1" customHeight="1" x14ac:dyDescent="0.25">
      <c r="B108" s="201">
        <v>48</v>
      </c>
      <c r="C108" s="853"/>
      <c r="D108" s="854"/>
      <c r="E108" s="854"/>
      <c r="F108" s="854"/>
      <c r="G108" s="854"/>
      <c r="H108" s="176"/>
      <c r="I108" s="177"/>
      <c r="J108" s="142"/>
      <c r="K108" s="158">
        <f t="shared" si="7"/>
        <v>0</v>
      </c>
      <c r="L108" s="142"/>
      <c r="M108" s="142"/>
      <c r="N108" s="158">
        <f t="shared" si="8"/>
        <v>0</v>
      </c>
      <c r="P108" s="201">
        <f t="shared" si="9"/>
        <v>48</v>
      </c>
      <c r="Q108" s="866" t="str">
        <f t="shared" si="10"/>
        <v/>
      </c>
      <c r="R108" s="866"/>
      <c r="S108" s="866"/>
      <c r="T108" s="866"/>
      <c r="U108" s="867"/>
      <c r="V108" s="202" t="str">
        <f t="shared" si="11"/>
        <v/>
      </c>
      <c r="W108" s="203">
        <f>IF(OR(V108="",V108=0),0,(Projeto!$AD$8*((1+Projeto!$AD$8)^V108))/(((1+Projeto!$AD$8)^V108)-1))</f>
        <v>0</v>
      </c>
      <c r="X108" s="204" t="e">
        <f>IF(AND(K108&gt;0,CustoContabil!#REF!&gt;0),K108*(CustoContabil!#REF!/CustoContabil!#REF!)*W108,0)</f>
        <v>#REF!</v>
      </c>
      <c r="Y108" s="204" t="e">
        <f>IF(AND(N108&gt;0,CustoContabil!#REF!&gt;0),N108*(CustoContabil!#REF!/CustoContabil!#REF!)*W108,0)</f>
        <v>#REF!</v>
      </c>
    </row>
    <row r="109" spans="2:25" ht="15" hidden="1" customHeight="1" x14ac:dyDescent="0.25">
      <c r="B109" s="201">
        <v>49</v>
      </c>
      <c r="C109" s="853"/>
      <c r="D109" s="854"/>
      <c r="E109" s="854"/>
      <c r="F109" s="854"/>
      <c r="G109" s="854"/>
      <c r="H109" s="176"/>
      <c r="I109" s="177"/>
      <c r="J109" s="142"/>
      <c r="K109" s="158">
        <f t="shared" si="7"/>
        <v>0</v>
      </c>
      <c r="L109" s="142"/>
      <c r="M109" s="142"/>
      <c r="N109" s="158">
        <f t="shared" si="8"/>
        <v>0</v>
      </c>
      <c r="P109" s="201">
        <f t="shared" si="9"/>
        <v>49</v>
      </c>
      <c r="Q109" s="866" t="str">
        <f t="shared" si="10"/>
        <v/>
      </c>
      <c r="R109" s="866"/>
      <c r="S109" s="866"/>
      <c r="T109" s="866"/>
      <c r="U109" s="867"/>
      <c r="V109" s="202" t="str">
        <f t="shared" si="11"/>
        <v/>
      </c>
      <c r="W109" s="203">
        <f>IF(OR(V109="",V109=0),0,(Projeto!$AD$8*((1+Projeto!$AD$8)^V109))/(((1+Projeto!$AD$8)^V109)-1))</f>
        <v>0</v>
      </c>
      <c r="X109" s="204" t="e">
        <f>IF(AND(K109&gt;0,CustoContabil!#REF!&gt;0),K109*(CustoContabil!#REF!/CustoContabil!#REF!)*W109,0)</f>
        <v>#REF!</v>
      </c>
      <c r="Y109" s="204" t="e">
        <f>IF(AND(N109&gt;0,CustoContabil!#REF!&gt;0),N109*(CustoContabil!#REF!/CustoContabil!#REF!)*W109,0)</f>
        <v>#REF!</v>
      </c>
    </row>
    <row r="110" spans="2:25" ht="15" hidden="1" customHeight="1" x14ac:dyDescent="0.25">
      <c r="B110" s="201">
        <v>50</v>
      </c>
      <c r="C110" s="853"/>
      <c r="D110" s="854"/>
      <c r="E110" s="854"/>
      <c r="F110" s="854"/>
      <c r="G110" s="854"/>
      <c r="H110" s="176"/>
      <c r="I110" s="177"/>
      <c r="J110" s="142"/>
      <c r="K110" s="158">
        <f t="shared" si="7"/>
        <v>0</v>
      </c>
      <c r="L110" s="142"/>
      <c r="M110" s="142"/>
      <c r="N110" s="158">
        <f t="shared" si="8"/>
        <v>0</v>
      </c>
      <c r="P110" s="201">
        <f t="shared" si="9"/>
        <v>50</v>
      </c>
      <c r="Q110" s="866" t="str">
        <f t="shared" si="10"/>
        <v/>
      </c>
      <c r="R110" s="866"/>
      <c r="S110" s="866"/>
      <c r="T110" s="866"/>
      <c r="U110" s="867"/>
      <c r="V110" s="202" t="str">
        <f t="shared" si="11"/>
        <v/>
      </c>
      <c r="W110" s="203">
        <f>IF(OR(V110="",V110=0),0,(Projeto!$AD$8*((1+Projeto!$AD$8)^V110))/(((1+Projeto!$AD$8)^V110)-1))</f>
        <v>0</v>
      </c>
      <c r="X110" s="204" t="e">
        <f>IF(AND(K110&gt;0,CustoContabil!#REF!&gt;0),K110*(CustoContabil!#REF!/CustoContabil!#REF!)*W110,0)</f>
        <v>#REF!</v>
      </c>
      <c r="Y110" s="204" t="e">
        <f>IF(AND(N110&gt;0,CustoContabil!#REF!&gt;0),N110*(CustoContabil!#REF!/CustoContabil!#REF!)*W110,0)</f>
        <v>#REF!</v>
      </c>
    </row>
    <row r="111" spans="2:25" ht="15" hidden="1" customHeight="1" x14ac:dyDescent="0.25">
      <c r="B111" s="201"/>
      <c r="C111" s="868" t="s">
        <v>4066</v>
      </c>
      <c r="D111" s="869"/>
      <c r="E111" s="869"/>
      <c r="F111" s="869"/>
      <c r="G111" s="869"/>
      <c r="H111" s="205">
        <v>20</v>
      </c>
      <c r="I111" s="177"/>
      <c r="J111" s="142"/>
      <c r="K111" s="158">
        <f t="shared" si="7"/>
        <v>0</v>
      </c>
      <c r="L111" s="142"/>
      <c r="M111" s="142"/>
      <c r="N111" s="158">
        <f t="shared" si="8"/>
        <v>0</v>
      </c>
      <c r="P111" s="201"/>
      <c r="Q111" s="866" t="str">
        <f t="shared" si="10"/>
        <v>Acessórios</v>
      </c>
      <c r="R111" s="866"/>
      <c r="S111" s="866"/>
      <c r="T111" s="866"/>
      <c r="U111" s="867"/>
      <c r="V111" s="202" t="str">
        <f t="shared" si="11"/>
        <v/>
      </c>
      <c r="W111" s="203">
        <f>IF(OR(V111="",V111=0),0,(Projeto!$AD$8*((1+Projeto!$AD$8)^V111))/(((1+Projeto!$AD$8)^V111)-1))</f>
        <v>0</v>
      </c>
      <c r="X111" s="204" t="e">
        <f>IF(AND(K111&gt;0,CustoContabil!#REF!&gt;0),K111*(CustoContabil!#REF!/CustoContabil!#REF!)*W111,0)</f>
        <v>#REF!</v>
      </c>
      <c r="Y111" s="204" t="e">
        <f>IF(AND(N111&gt;0,CustoContabil!#REF!&gt;0),N111*(CustoContabil!#REF!/CustoContabil!#REF!)*W111,0)</f>
        <v>#REF!</v>
      </c>
    </row>
    <row r="112" spans="2:25" ht="15" hidden="1" customHeight="1" x14ac:dyDescent="0.25">
      <c r="B112" s="206"/>
      <c r="C112" s="838" t="s">
        <v>4338</v>
      </c>
      <c r="D112" s="838"/>
      <c r="E112" s="838"/>
      <c r="F112" s="838"/>
      <c r="G112" s="838"/>
      <c r="H112" s="838"/>
      <c r="I112" s="838"/>
      <c r="J112" s="839"/>
      <c r="K112" s="207">
        <f>SUM(K61:K111)</f>
        <v>0</v>
      </c>
      <c r="L112" s="207">
        <f>SUM(L61:L111)</f>
        <v>0</v>
      </c>
      <c r="M112" s="207">
        <f>SUM(M61:M111)</f>
        <v>0</v>
      </c>
      <c r="N112" s="207">
        <f>SUM(N61:N111)</f>
        <v>0</v>
      </c>
      <c r="P112" s="871" t="s">
        <v>4347</v>
      </c>
      <c r="Q112" s="872"/>
      <c r="R112" s="872"/>
      <c r="S112" s="872"/>
      <c r="T112" s="872"/>
      <c r="U112" s="872"/>
      <c r="V112" s="873"/>
      <c r="W112" s="208" t="s">
        <v>4340</v>
      </c>
      <c r="X112" s="209" t="e">
        <f>SUM(X61:X111)</f>
        <v>#REF!</v>
      </c>
      <c r="Y112" s="209" t="e">
        <f>SUM(Y61:Y111)</f>
        <v>#REF!</v>
      </c>
    </row>
    <row r="113" spans="2:23" ht="15" hidden="1" customHeight="1" x14ac:dyDescent="0.25">
      <c r="B113" s="861" t="s">
        <v>4070</v>
      </c>
      <c r="C113" s="862"/>
      <c r="D113" s="862"/>
      <c r="E113" s="862"/>
      <c r="F113" s="862"/>
      <c r="G113" s="862"/>
      <c r="H113" s="862"/>
      <c r="I113" s="862"/>
      <c r="J113" s="862"/>
      <c r="K113" s="857" t="s">
        <v>3909</v>
      </c>
      <c r="L113" s="857"/>
      <c r="M113" s="857"/>
      <c r="N113" s="857"/>
      <c r="P113" s="184"/>
      <c r="Q113" s="184"/>
      <c r="R113" s="185"/>
      <c r="S113" s="186"/>
      <c r="T113" s="186"/>
      <c r="U113" s="186"/>
      <c r="V113" s="187"/>
      <c r="W113" s="188"/>
    </row>
    <row r="114" spans="2:23" ht="15" hidden="1" customHeight="1" x14ac:dyDescent="0.35">
      <c r="B114" s="210"/>
      <c r="C114" s="836" t="s">
        <v>12</v>
      </c>
      <c r="D114" s="836"/>
      <c r="E114" s="836"/>
      <c r="F114" s="836"/>
      <c r="G114" s="836"/>
      <c r="H114" s="836"/>
      <c r="I114" s="836"/>
      <c r="J114" s="837"/>
      <c r="K114" s="158">
        <v>0</v>
      </c>
      <c r="L114" s="211"/>
      <c r="M114" s="212"/>
      <c r="N114" s="158">
        <f>K114</f>
        <v>0</v>
      </c>
      <c r="P114" s="213" t="s">
        <v>4341</v>
      </c>
      <c r="Q114" s="214"/>
      <c r="R114" s="215">
        <f>RCB!$G$32</f>
        <v>0</v>
      </c>
      <c r="T114" s="213" t="s">
        <v>4342</v>
      </c>
      <c r="U114" s="214"/>
      <c r="V114" s="215">
        <f>RCB!$J$32</f>
        <v>0</v>
      </c>
    </row>
    <row r="115" spans="2:23" ht="15" hidden="1" customHeight="1" x14ac:dyDescent="0.35">
      <c r="B115" s="863" t="s">
        <v>3920</v>
      </c>
      <c r="C115" s="893"/>
      <c r="D115" s="893"/>
      <c r="E115" s="893"/>
      <c r="F115" s="893"/>
      <c r="G115" s="894"/>
      <c r="H115" s="152" t="s">
        <v>3980</v>
      </c>
      <c r="I115" s="543" t="s">
        <v>697</v>
      </c>
      <c r="J115" s="543" t="s">
        <v>4073</v>
      </c>
      <c r="K115" s="200" t="s">
        <v>3982</v>
      </c>
      <c r="L115" s="152" t="s">
        <v>4086</v>
      </c>
      <c r="M115" s="152" t="s">
        <v>4087</v>
      </c>
      <c r="N115" s="153" t="s">
        <v>4062</v>
      </c>
      <c r="P115" s="213" t="s">
        <v>4074</v>
      </c>
      <c r="Q115" s="214"/>
      <c r="R115" s="215">
        <f>RCB!$H$30</f>
        <v>0</v>
      </c>
      <c r="T115" s="213" t="s">
        <v>4075</v>
      </c>
      <c r="U115" s="214"/>
      <c r="V115" s="215">
        <f>RCB!$K$30</f>
        <v>0</v>
      </c>
    </row>
    <row r="116" spans="2:23" ht="15" hidden="1" customHeight="1" x14ac:dyDescent="0.25">
      <c r="B116" s="201">
        <v>1</v>
      </c>
      <c r="C116" s="870"/>
      <c r="D116" s="870"/>
      <c r="E116" s="870"/>
      <c r="F116" s="870"/>
      <c r="G116" s="853"/>
      <c r="H116" s="192"/>
      <c r="I116" s="170"/>
      <c r="J116" s="142"/>
      <c r="K116" s="158">
        <f>N116-L116-M116</f>
        <v>0</v>
      </c>
      <c r="L116" s="142"/>
      <c r="M116" s="142"/>
      <c r="N116" s="158">
        <f>H116*I116*J116</f>
        <v>0</v>
      </c>
    </row>
    <row r="117" spans="2:23" ht="15" hidden="1" customHeight="1" x14ac:dyDescent="0.25">
      <c r="B117" s="553">
        <v>2</v>
      </c>
      <c r="C117" s="870"/>
      <c r="D117" s="870"/>
      <c r="E117" s="870"/>
      <c r="F117" s="870"/>
      <c r="G117" s="853"/>
      <c r="H117" s="193"/>
      <c r="I117" s="177"/>
      <c r="J117" s="142"/>
      <c r="K117" s="158">
        <f>N117-L117-M117</f>
        <v>0</v>
      </c>
      <c r="L117" s="142"/>
      <c r="M117" s="142"/>
      <c r="N117" s="158">
        <f>H117*I117*J117</f>
        <v>0</v>
      </c>
    </row>
    <row r="118" spans="2:23" ht="15" hidden="1" customHeight="1" x14ac:dyDescent="0.25">
      <c r="B118" s="201">
        <v>3</v>
      </c>
      <c r="C118" s="870"/>
      <c r="D118" s="870"/>
      <c r="E118" s="870"/>
      <c r="F118" s="870"/>
      <c r="G118" s="853"/>
      <c r="H118" s="193"/>
      <c r="I118" s="177"/>
      <c r="J118" s="142"/>
      <c r="K118" s="158">
        <f>N118-L118-M118</f>
        <v>0</v>
      </c>
      <c r="L118" s="142"/>
      <c r="M118" s="142"/>
      <c r="N118" s="158">
        <f>H118*I118*J118</f>
        <v>0</v>
      </c>
    </row>
    <row r="119" spans="2:23" ht="15" hidden="1" customHeight="1" x14ac:dyDescent="0.25">
      <c r="B119" s="553">
        <v>4</v>
      </c>
      <c r="C119" s="870"/>
      <c r="D119" s="870"/>
      <c r="E119" s="870"/>
      <c r="F119" s="870"/>
      <c r="G119" s="853"/>
      <c r="H119" s="193"/>
      <c r="I119" s="177"/>
      <c r="J119" s="142"/>
      <c r="K119" s="158">
        <f>N119-L119-M119</f>
        <v>0</v>
      </c>
      <c r="L119" s="142"/>
      <c r="M119" s="142"/>
      <c r="N119" s="158">
        <f>H119*I119*J119</f>
        <v>0</v>
      </c>
    </row>
    <row r="120" spans="2:23" ht="15" hidden="1" customHeight="1" x14ac:dyDescent="0.25">
      <c r="B120" s="201">
        <v>5</v>
      </c>
      <c r="C120" s="870"/>
      <c r="D120" s="870"/>
      <c r="E120" s="870"/>
      <c r="F120" s="870"/>
      <c r="G120" s="853"/>
      <c r="H120" s="193"/>
      <c r="I120" s="177"/>
      <c r="J120" s="142"/>
      <c r="K120" s="158">
        <f>N120-L120-M120</f>
        <v>0</v>
      </c>
      <c r="L120" s="142"/>
      <c r="M120" s="142"/>
      <c r="N120" s="158">
        <f>H120*I120*J120</f>
        <v>0</v>
      </c>
    </row>
    <row r="121" spans="2:23" ht="15" hidden="1" customHeight="1" x14ac:dyDescent="0.25">
      <c r="B121" s="210"/>
      <c r="C121" s="874" t="s">
        <v>4343</v>
      </c>
      <c r="D121" s="874"/>
      <c r="E121" s="874"/>
      <c r="F121" s="874"/>
      <c r="G121" s="874"/>
      <c r="H121" s="874"/>
      <c r="I121" s="874"/>
      <c r="J121" s="875"/>
      <c r="K121" s="158">
        <f>SUM(K116:K120)</f>
        <v>0</v>
      </c>
      <c r="L121" s="158">
        <f>SUM(L116:L120)</f>
        <v>0</v>
      </c>
      <c r="M121" s="158">
        <f>SUM(M116:M120)</f>
        <v>0</v>
      </c>
      <c r="N121" s="158">
        <f>SUM(N116:N120)</f>
        <v>0</v>
      </c>
    </row>
    <row r="122" spans="2:23" ht="15" hidden="1" customHeight="1" x14ac:dyDescent="0.25">
      <c r="B122" s="206"/>
      <c r="C122" s="838" t="s">
        <v>4348</v>
      </c>
      <c r="D122" s="838"/>
      <c r="E122" s="838"/>
      <c r="F122" s="838"/>
      <c r="G122" s="838"/>
      <c r="H122" s="838"/>
      <c r="I122" s="838"/>
      <c r="J122" s="839"/>
      <c r="K122" s="207">
        <f>SUM(K114,K121)</f>
        <v>0</v>
      </c>
      <c r="L122" s="207">
        <f>SUM(L114,L121)</f>
        <v>0</v>
      </c>
      <c r="M122" s="207">
        <f>SUM(M114,M121)</f>
        <v>0</v>
      </c>
      <c r="N122" s="207">
        <f>SUM(N114,N121)</f>
        <v>0</v>
      </c>
    </row>
    <row r="123" spans="2:23" ht="15" hidden="1" customHeight="1" x14ac:dyDescent="0.25">
      <c r="B123" s="861" t="s">
        <v>4090</v>
      </c>
      <c r="C123" s="862"/>
      <c r="D123" s="862"/>
      <c r="E123" s="862"/>
      <c r="F123" s="862"/>
      <c r="G123" s="862"/>
      <c r="H123" s="862"/>
      <c r="I123" s="862"/>
      <c r="J123" s="862"/>
      <c r="K123" s="857" t="s">
        <v>3909</v>
      </c>
      <c r="L123" s="857"/>
      <c r="M123" s="857"/>
      <c r="N123" s="857"/>
    </row>
    <row r="124" spans="2:23" ht="15" hidden="1" customHeight="1" x14ac:dyDescent="0.25">
      <c r="B124" s="210"/>
      <c r="C124" s="836" t="s">
        <v>14</v>
      </c>
      <c r="D124" s="836"/>
      <c r="E124" s="836"/>
      <c r="F124" s="836"/>
      <c r="G124" s="836"/>
      <c r="H124" s="836"/>
      <c r="I124" s="836"/>
      <c r="J124" s="837"/>
      <c r="K124" s="158">
        <v>0</v>
      </c>
      <c r="L124" s="290"/>
      <c r="M124" s="291"/>
      <c r="N124" s="158">
        <f>K124</f>
        <v>0</v>
      </c>
    </row>
    <row r="125" spans="2:23" ht="15" hidden="1" customHeight="1" x14ac:dyDescent="0.25">
      <c r="B125" s="863" t="s">
        <v>3933</v>
      </c>
      <c r="C125" s="864"/>
      <c r="D125" s="864"/>
      <c r="E125" s="864"/>
      <c r="F125" s="864"/>
      <c r="G125" s="864"/>
      <c r="H125" s="865"/>
      <c r="I125" s="543" t="s">
        <v>3980</v>
      </c>
      <c r="J125" s="543" t="s">
        <v>3981</v>
      </c>
      <c r="K125" s="200" t="s">
        <v>3982</v>
      </c>
      <c r="L125" s="152" t="s">
        <v>4086</v>
      </c>
      <c r="M125" s="152" t="s">
        <v>4087</v>
      </c>
      <c r="N125" s="153" t="s">
        <v>4062</v>
      </c>
      <c r="P125" s="72"/>
    </row>
    <row r="126" spans="2:23" ht="15" hidden="1" customHeight="1" x14ac:dyDescent="0.25">
      <c r="B126" s="216">
        <v>1</v>
      </c>
      <c r="C126" s="855"/>
      <c r="D126" s="855"/>
      <c r="E126" s="855"/>
      <c r="F126" s="855"/>
      <c r="G126" s="855"/>
      <c r="H126" s="856"/>
      <c r="I126" s="177"/>
      <c r="J126" s="142"/>
      <c r="K126" s="158">
        <f>N126-L126-M126</f>
        <v>0</v>
      </c>
      <c r="L126" s="142"/>
      <c r="M126" s="142"/>
      <c r="N126" s="158">
        <f>I126*J126</f>
        <v>0</v>
      </c>
    </row>
    <row r="127" spans="2:23" ht="15" hidden="1" customHeight="1" x14ac:dyDescent="0.25">
      <c r="B127" s="216">
        <v>2</v>
      </c>
      <c r="C127" s="855"/>
      <c r="D127" s="855"/>
      <c r="E127" s="855"/>
      <c r="F127" s="855"/>
      <c r="G127" s="855"/>
      <c r="H127" s="856"/>
      <c r="I127" s="177"/>
      <c r="J127" s="142"/>
      <c r="K127" s="158">
        <f>N127-L127-M127</f>
        <v>0</v>
      </c>
      <c r="L127" s="142"/>
      <c r="M127" s="142"/>
      <c r="N127" s="158">
        <f>I127*J127</f>
        <v>0</v>
      </c>
    </row>
    <row r="128" spans="2:23" ht="15" hidden="1" customHeight="1" x14ac:dyDescent="0.25">
      <c r="B128" s="216">
        <v>3</v>
      </c>
      <c r="C128" s="855"/>
      <c r="D128" s="855"/>
      <c r="E128" s="855"/>
      <c r="F128" s="855"/>
      <c r="G128" s="855"/>
      <c r="H128" s="856"/>
      <c r="I128" s="177"/>
      <c r="J128" s="142"/>
      <c r="K128" s="158">
        <f>N128-L128-M128</f>
        <v>0</v>
      </c>
      <c r="L128" s="142"/>
      <c r="M128" s="142"/>
      <c r="N128" s="158">
        <f>I128*J128</f>
        <v>0</v>
      </c>
    </row>
    <row r="129" spans="2:16" ht="15" hidden="1" customHeight="1" x14ac:dyDescent="0.25">
      <c r="B129" s="210"/>
      <c r="C129" s="836" t="s">
        <v>3933</v>
      </c>
      <c r="D129" s="836"/>
      <c r="E129" s="836"/>
      <c r="F129" s="836"/>
      <c r="G129" s="836"/>
      <c r="H129" s="836"/>
      <c r="I129" s="836"/>
      <c r="J129" s="837"/>
      <c r="K129" s="158">
        <f>SUM(K126:K128)</f>
        <v>0</v>
      </c>
      <c r="L129" s="158">
        <f>SUM(L126:L128)</f>
        <v>0</v>
      </c>
      <c r="M129" s="158">
        <f>SUM(M126:M128)</f>
        <v>0</v>
      </c>
      <c r="N129" s="158">
        <f>SUM(N126:N128)</f>
        <v>0</v>
      </c>
    </row>
    <row r="130" spans="2:16" ht="15" hidden="1" customHeight="1" x14ac:dyDescent="0.25">
      <c r="B130" s="206"/>
      <c r="C130" s="838" t="s">
        <v>4349</v>
      </c>
      <c r="D130" s="838"/>
      <c r="E130" s="838"/>
      <c r="F130" s="838"/>
      <c r="G130" s="838"/>
      <c r="H130" s="838"/>
      <c r="I130" s="838"/>
      <c r="J130" s="839"/>
      <c r="K130" s="207">
        <f>SUM(K124,K129)</f>
        <v>0</v>
      </c>
      <c r="L130" s="207">
        <f>SUM(L124,L129)</f>
        <v>0</v>
      </c>
      <c r="M130" s="207">
        <f>SUM(M124,M129)</f>
        <v>0</v>
      </c>
      <c r="N130" s="207">
        <f>SUM(N124,N129)</f>
        <v>0</v>
      </c>
    </row>
    <row r="131" spans="2:16" ht="15" hidden="1" customHeight="1" x14ac:dyDescent="0.25">
      <c r="B131" s="217"/>
      <c r="C131" s="840" t="s">
        <v>4344</v>
      </c>
      <c r="D131" s="840"/>
      <c r="E131" s="840"/>
      <c r="F131" s="840"/>
      <c r="G131" s="840"/>
      <c r="H131" s="840"/>
      <c r="I131" s="840"/>
      <c r="J131" s="841"/>
      <c r="K131" s="164">
        <f>SUM(K112,K122,K130)</f>
        <v>0</v>
      </c>
      <c r="L131" s="164">
        <f>SUM(L112,L122,L130)</f>
        <v>0</v>
      </c>
      <c r="M131" s="164">
        <f>SUM(M112,M122,M130)</f>
        <v>0</v>
      </c>
      <c r="N131" s="164">
        <f>SUM(N112,N122,N130)</f>
        <v>0</v>
      </c>
    </row>
    <row r="132" spans="2:16" ht="15" hidden="1" customHeight="1" x14ac:dyDescent="0.25">
      <c r="B132" s="858" t="s">
        <v>3934</v>
      </c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860"/>
    </row>
    <row r="133" spans="2:16" ht="15" hidden="1" customHeight="1" x14ac:dyDescent="0.25">
      <c r="B133" s="861" t="s">
        <v>4081</v>
      </c>
      <c r="C133" s="862"/>
      <c r="D133" s="862"/>
      <c r="E133" s="862"/>
      <c r="F133" s="862"/>
      <c r="G133" s="862"/>
      <c r="H133" s="862"/>
      <c r="I133" s="862"/>
      <c r="J133" s="862"/>
      <c r="K133" s="857" t="s">
        <v>3909</v>
      </c>
      <c r="L133" s="857"/>
      <c r="M133" s="857"/>
      <c r="N133" s="857"/>
    </row>
    <row r="134" spans="2:16" ht="15" hidden="1" customHeight="1" x14ac:dyDescent="0.25">
      <c r="B134" s="210"/>
      <c r="C134" s="836" t="s">
        <v>3935</v>
      </c>
      <c r="D134" s="836"/>
      <c r="E134" s="836"/>
      <c r="F134" s="836"/>
      <c r="G134" s="836"/>
      <c r="H134" s="836"/>
      <c r="I134" s="836"/>
      <c r="J134" s="837"/>
      <c r="K134" s="158">
        <v>0</v>
      </c>
      <c r="L134" s="290"/>
      <c r="M134" s="291"/>
      <c r="N134" s="158">
        <f>K134</f>
        <v>0</v>
      </c>
    </row>
    <row r="135" spans="2:16" ht="15" hidden="1" customHeight="1" x14ac:dyDescent="0.25">
      <c r="B135" s="863" t="s">
        <v>3923</v>
      </c>
      <c r="C135" s="864"/>
      <c r="D135" s="864"/>
      <c r="E135" s="864"/>
      <c r="F135" s="864"/>
      <c r="G135" s="864"/>
      <c r="H135" s="865"/>
      <c r="I135" s="543" t="s">
        <v>3980</v>
      </c>
      <c r="J135" s="543" t="s">
        <v>3981</v>
      </c>
      <c r="K135" s="200" t="s">
        <v>3982</v>
      </c>
      <c r="L135" s="152" t="s">
        <v>4086</v>
      </c>
      <c r="M135" s="152" t="s">
        <v>4087</v>
      </c>
      <c r="N135" s="153" t="s">
        <v>4062</v>
      </c>
      <c r="P135" s="72"/>
    </row>
    <row r="136" spans="2:16" ht="15" hidden="1" customHeight="1" x14ac:dyDescent="0.25">
      <c r="B136" s="216">
        <v>1</v>
      </c>
      <c r="C136" s="855"/>
      <c r="D136" s="855"/>
      <c r="E136" s="855"/>
      <c r="F136" s="855"/>
      <c r="G136" s="855"/>
      <c r="H136" s="856"/>
      <c r="I136" s="177"/>
      <c r="J136" s="142"/>
      <c r="K136" s="158">
        <f>N136-L136-M136</f>
        <v>0</v>
      </c>
      <c r="L136" s="142"/>
      <c r="M136" s="142"/>
      <c r="N136" s="158">
        <f>I136*J136</f>
        <v>0</v>
      </c>
    </row>
    <row r="137" spans="2:16" ht="15" hidden="1" customHeight="1" x14ac:dyDescent="0.25">
      <c r="B137" s="216">
        <v>2</v>
      </c>
      <c r="C137" s="855"/>
      <c r="D137" s="855"/>
      <c r="E137" s="855"/>
      <c r="F137" s="855"/>
      <c r="G137" s="855"/>
      <c r="H137" s="856"/>
      <c r="I137" s="177"/>
      <c r="J137" s="142"/>
      <c r="K137" s="158">
        <f>N137-L137-M137</f>
        <v>0</v>
      </c>
      <c r="L137" s="142"/>
      <c r="M137" s="142"/>
      <c r="N137" s="158">
        <f>I137*J137</f>
        <v>0</v>
      </c>
    </row>
    <row r="138" spans="2:16" ht="15" hidden="1" customHeight="1" x14ac:dyDescent="0.25">
      <c r="B138" s="216">
        <v>3</v>
      </c>
      <c r="C138" s="855"/>
      <c r="D138" s="855"/>
      <c r="E138" s="855"/>
      <c r="F138" s="855"/>
      <c r="G138" s="855"/>
      <c r="H138" s="856"/>
      <c r="I138" s="177"/>
      <c r="J138" s="142"/>
      <c r="K138" s="158">
        <f>N138-L138-M138</f>
        <v>0</v>
      </c>
      <c r="L138" s="142"/>
      <c r="M138" s="142"/>
      <c r="N138" s="158">
        <f>I138*J138</f>
        <v>0</v>
      </c>
    </row>
    <row r="139" spans="2:16" ht="15" hidden="1" customHeight="1" x14ac:dyDescent="0.25">
      <c r="B139" s="210"/>
      <c r="C139" s="836" t="s">
        <v>3923</v>
      </c>
      <c r="D139" s="836"/>
      <c r="E139" s="836"/>
      <c r="F139" s="836"/>
      <c r="G139" s="836"/>
      <c r="H139" s="836"/>
      <c r="I139" s="836"/>
      <c r="J139" s="837"/>
      <c r="K139" s="158">
        <f>SUM(K136:K138)</f>
        <v>0</v>
      </c>
      <c r="L139" s="158">
        <f>SUM(L136:L138)</f>
        <v>0</v>
      </c>
      <c r="M139" s="158">
        <f>SUM(M136:M138)</f>
        <v>0</v>
      </c>
      <c r="N139" s="158">
        <f>SUM(N136:N138)</f>
        <v>0</v>
      </c>
    </row>
    <row r="140" spans="2:16" ht="15" hidden="1" customHeight="1" x14ac:dyDescent="0.25">
      <c r="B140" s="863" t="s">
        <v>3925</v>
      </c>
      <c r="C140" s="864"/>
      <c r="D140" s="864"/>
      <c r="E140" s="864"/>
      <c r="F140" s="864"/>
      <c r="G140" s="864"/>
      <c r="H140" s="865"/>
      <c r="I140" s="543" t="s">
        <v>3980</v>
      </c>
      <c r="J140" s="543" t="s">
        <v>3981</v>
      </c>
      <c r="K140" s="200" t="s">
        <v>3982</v>
      </c>
      <c r="L140" s="152" t="s">
        <v>4086</v>
      </c>
      <c r="M140" s="152" t="s">
        <v>4087</v>
      </c>
      <c r="N140" s="153" t="s">
        <v>4062</v>
      </c>
      <c r="P140" s="72"/>
    </row>
    <row r="141" spans="2:16" ht="15" hidden="1" customHeight="1" x14ac:dyDescent="0.25">
      <c r="B141" s="216">
        <v>1</v>
      </c>
      <c r="C141" s="855"/>
      <c r="D141" s="855"/>
      <c r="E141" s="855"/>
      <c r="F141" s="855"/>
      <c r="G141" s="855"/>
      <c r="H141" s="856"/>
      <c r="I141" s="177"/>
      <c r="J141" s="142"/>
      <c r="K141" s="158">
        <f>N141-L141-M141</f>
        <v>0</v>
      </c>
      <c r="L141" s="142"/>
      <c r="M141" s="142"/>
      <c r="N141" s="158">
        <f>I141*J141</f>
        <v>0</v>
      </c>
    </row>
    <row r="142" spans="2:16" ht="15" hidden="1" customHeight="1" x14ac:dyDescent="0.25">
      <c r="B142" s="216">
        <v>2</v>
      </c>
      <c r="C142" s="855"/>
      <c r="D142" s="855"/>
      <c r="E142" s="855"/>
      <c r="F142" s="855"/>
      <c r="G142" s="855"/>
      <c r="H142" s="856"/>
      <c r="I142" s="177"/>
      <c r="J142" s="142"/>
      <c r="K142" s="158">
        <f>N142-L142-M142</f>
        <v>0</v>
      </c>
      <c r="L142" s="142"/>
      <c r="M142" s="142"/>
      <c r="N142" s="158">
        <f>I142*J142</f>
        <v>0</v>
      </c>
    </row>
    <row r="143" spans="2:16" ht="15" hidden="1" customHeight="1" x14ac:dyDescent="0.25">
      <c r="B143" s="216">
        <v>3</v>
      </c>
      <c r="C143" s="855"/>
      <c r="D143" s="855"/>
      <c r="E143" s="855"/>
      <c r="F143" s="855"/>
      <c r="G143" s="855"/>
      <c r="H143" s="856"/>
      <c r="I143" s="177"/>
      <c r="J143" s="142"/>
      <c r="K143" s="158">
        <f>N143-L143-M143</f>
        <v>0</v>
      </c>
      <c r="L143" s="142"/>
      <c r="M143" s="142"/>
      <c r="N143" s="158">
        <f>I143*J143</f>
        <v>0</v>
      </c>
    </row>
    <row r="144" spans="2:16" ht="15" hidden="1" customHeight="1" x14ac:dyDescent="0.25">
      <c r="B144" s="210"/>
      <c r="C144" s="836" t="s">
        <v>3925</v>
      </c>
      <c r="D144" s="836"/>
      <c r="E144" s="836"/>
      <c r="F144" s="836"/>
      <c r="G144" s="836"/>
      <c r="H144" s="836"/>
      <c r="I144" s="836"/>
      <c r="J144" s="837"/>
      <c r="K144" s="158">
        <f>SUM(K141:K143)</f>
        <v>0</v>
      </c>
      <c r="L144" s="158">
        <f>SUM(L141:L143)</f>
        <v>0</v>
      </c>
      <c r="M144" s="158">
        <f>SUM(M141:M143)</f>
        <v>0</v>
      </c>
      <c r="N144" s="158">
        <f>SUM(N141:N143)</f>
        <v>0</v>
      </c>
    </row>
    <row r="145" spans="2:16" ht="15" hidden="1" customHeight="1" x14ac:dyDescent="0.25">
      <c r="B145" s="210"/>
      <c r="C145" s="836" t="s">
        <v>3926</v>
      </c>
      <c r="D145" s="836"/>
      <c r="E145" s="836"/>
      <c r="F145" s="836"/>
      <c r="G145" s="836"/>
      <c r="H145" s="836"/>
      <c r="I145" s="836"/>
      <c r="J145" s="837"/>
      <c r="K145" s="158" t="e">
        <f>Descarte!K135</f>
        <v>#REF!</v>
      </c>
      <c r="L145" s="158" t="e">
        <f>Descarte!#REF!</f>
        <v>#REF!</v>
      </c>
      <c r="M145" s="158" t="e">
        <f>Descarte!#REF!</f>
        <v>#REF!</v>
      </c>
      <c r="N145" s="158">
        <f>Descarte!L135</f>
        <v>0</v>
      </c>
    </row>
    <row r="146" spans="2:16" ht="15" hidden="1" customHeight="1" x14ac:dyDescent="0.25">
      <c r="B146" s="210"/>
      <c r="C146" s="836" t="s">
        <v>3927</v>
      </c>
      <c r="D146" s="836"/>
      <c r="E146" s="836"/>
      <c r="F146" s="836"/>
      <c r="G146" s="836"/>
      <c r="H146" s="836"/>
      <c r="I146" s="836"/>
      <c r="J146" s="837"/>
      <c r="K146" s="158" t="e">
        <f>'M&amp;V'!M545</f>
        <v>#REF!</v>
      </c>
      <c r="L146" s="158" t="e">
        <f>'M&amp;V'!#REF!</f>
        <v>#REF!</v>
      </c>
      <c r="M146" s="158" t="e">
        <f>'M&amp;V'!#REF!</f>
        <v>#REF!</v>
      </c>
      <c r="N146" s="158">
        <f>'M&amp;V'!N545</f>
        <v>0</v>
      </c>
    </row>
    <row r="147" spans="2:16" ht="15" hidden="1" customHeight="1" x14ac:dyDescent="0.25">
      <c r="B147" s="863" t="s">
        <v>3929</v>
      </c>
      <c r="C147" s="864"/>
      <c r="D147" s="864"/>
      <c r="E147" s="864"/>
      <c r="F147" s="864"/>
      <c r="G147" s="864"/>
      <c r="H147" s="865"/>
      <c r="I147" s="543" t="s">
        <v>3980</v>
      </c>
      <c r="J147" s="543" t="s">
        <v>3981</v>
      </c>
      <c r="K147" s="200" t="s">
        <v>3982</v>
      </c>
      <c r="L147" s="152" t="s">
        <v>4086</v>
      </c>
      <c r="M147" s="152" t="s">
        <v>4087</v>
      </c>
      <c r="N147" s="153" t="s">
        <v>4062</v>
      </c>
      <c r="P147" s="72"/>
    </row>
    <row r="148" spans="2:16" ht="15" hidden="1" customHeight="1" x14ac:dyDescent="0.25">
      <c r="B148" s="216">
        <v>1</v>
      </c>
      <c r="C148" s="855"/>
      <c r="D148" s="855"/>
      <c r="E148" s="855"/>
      <c r="F148" s="855"/>
      <c r="G148" s="855"/>
      <c r="H148" s="856"/>
      <c r="I148" s="177"/>
      <c r="J148" s="142"/>
      <c r="K148" s="158">
        <f>N148-L148-M148</f>
        <v>0</v>
      </c>
      <c r="L148" s="142"/>
      <c r="M148" s="142"/>
      <c r="N148" s="158">
        <f>I148*J148</f>
        <v>0</v>
      </c>
    </row>
    <row r="149" spans="2:16" ht="15" hidden="1" customHeight="1" x14ac:dyDescent="0.25">
      <c r="B149" s="216">
        <v>2</v>
      </c>
      <c r="C149" s="855"/>
      <c r="D149" s="855"/>
      <c r="E149" s="855"/>
      <c r="F149" s="855"/>
      <c r="G149" s="855"/>
      <c r="H149" s="856"/>
      <c r="I149" s="177"/>
      <c r="J149" s="142"/>
      <c r="K149" s="158">
        <f>N149-L149-M149</f>
        <v>0</v>
      </c>
      <c r="L149" s="142"/>
      <c r="M149" s="142"/>
      <c r="N149" s="158">
        <f>I149*J149</f>
        <v>0</v>
      </c>
    </row>
    <row r="150" spans="2:16" ht="15" hidden="1" customHeight="1" x14ac:dyDescent="0.25">
      <c r="B150" s="216">
        <v>3</v>
      </c>
      <c r="C150" s="855"/>
      <c r="D150" s="855"/>
      <c r="E150" s="855"/>
      <c r="F150" s="855"/>
      <c r="G150" s="855"/>
      <c r="H150" s="856"/>
      <c r="I150" s="177"/>
      <c r="J150" s="142"/>
      <c r="K150" s="158">
        <f>N150-L150-M150</f>
        <v>0</v>
      </c>
      <c r="L150" s="142"/>
      <c r="M150" s="142"/>
      <c r="N150" s="158">
        <f>I150*J150</f>
        <v>0</v>
      </c>
    </row>
    <row r="151" spans="2:16" ht="15" hidden="1" customHeight="1" x14ac:dyDescent="0.25">
      <c r="B151" s="210"/>
      <c r="C151" s="836" t="s">
        <v>3929</v>
      </c>
      <c r="D151" s="836"/>
      <c r="E151" s="836"/>
      <c r="F151" s="836"/>
      <c r="G151" s="836"/>
      <c r="H151" s="836"/>
      <c r="I151" s="836"/>
      <c r="J151" s="837"/>
      <c r="K151" s="158">
        <f>SUM(K148:K150)</f>
        <v>0</v>
      </c>
      <c r="L151" s="158">
        <f>SUM(L148:L150)</f>
        <v>0</v>
      </c>
      <c r="M151" s="158">
        <f>SUM(M148:M150)</f>
        <v>0</v>
      </c>
      <c r="N151" s="158">
        <f>SUM(N148:N150)</f>
        <v>0</v>
      </c>
    </row>
    <row r="152" spans="2:16" ht="15" hidden="1" customHeight="1" x14ac:dyDescent="0.25">
      <c r="B152" s="217"/>
      <c r="C152" s="840" t="s">
        <v>4345</v>
      </c>
      <c r="D152" s="840"/>
      <c r="E152" s="840"/>
      <c r="F152" s="840"/>
      <c r="G152" s="840"/>
      <c r="H152" s="840"/>
      <c r="I152" s="840"/>
      <c r="J152" s="841"/>
      <c r="K152" s="164" t="e">
        <f>SUM(K134,K139,K144:K146,K151)</f>
        <v>#REF!</v>
      </c>
      <c r="L152" s="164" t="e">
        <f>SUM(L134,L139,L144:L146,L151)</f>
        <v>#REF!</v>
      </c>
      <c r="M152" s="164" t="e">
        <f>SUM(M134,M139,M144:M146,M151)</f>
        <v>#REF!</v>
      </c>
      <c r="N152" s="164">
        <f>SUM(N134,N139,N144:N146,N151)</f>
        <v>0</v>
      </c>
    </row>
    <row r="153" spans="2:16" ht="15" hidden="1" customHeight="1" x14ac:dyDescent="0.25">
      <c r="B153" s="218"/>
      <c r="C153" s="818" t="s">
        <v>4350</v>
      </c>
      <c r="D153" s="818"/>
      <c r="E153" s="818"/>
      <c r="F153" s="818"/>
      <c r="G153" s="818"/>
      <c r="H153" s="818"/>
      <c r="I153" s="818"/>
      <c r="J153" s="819"/>
      <c r="K153" s="209" t="e">
        <f>SUM(K131,K152)</f>
        <v>#REF!</v>
      </c>
      <c r="L153" s="209" t="e">
        <f>SUM(L131,L152)</f>
        <v>#REF!</v>
      </c>
      <c r="M153" s="209" t="e">
        <f>SUM(M131,M152)</f>
        <v>#REF!</v>
      </c>
      <c r="N153" s="209">
        <f>SUM(N131,N152)</f>
        <v>0</v>
      </c>
    </row>
  </sheetData>
  <sheetProtection algorithmName="SHA-512" hashValue="pGoOSb0ntQs5UyL5kyLTsjzzCMR78RxzuiYFAMz7D3IZ5kIUvKZsCUSY8CYp+nptnByakHEUnoDSHj9YEEtqcA==" saltValue="H34bQzGVEomGSZ8pVNX2EA==" spinCount="100000" sheet="1" objects="1" scenarios="1"/>
  <mergeCells count="239">
    <mergeCell ref="C153:J153"/>
    <mergeCell ref="C148:H148"/>
    <mergeCell ref="C149:H149"/>
    <mergeCell ref="C150:H150"/>
    <mergeCell ref="C151:J151"/>
    <mergeCell ref="C14:G14"/>
    <mergeCell ref="C15:G15"/>
    <mergeCell ref="C16:G16"/>
    <mergeCell ref="C17:G17"/>
    <mergeCell ref="C18:G18"/>
    <mergeCell ref="C19:G19"/>
    <mergeCell ref="C142:H142"/>
    <mergeCell ref="C143:H143"/>
    <mergeCell ref="C129:J129"/>
    <mergeCell ref="C130:J130"/>
    <mergeCell ref="C131:J131"/>
    <mergeCell ref="C152:J152"/>
    <mergeCell ref="C134:J134"/>
    <mergeCell ref="C139:J139"/>
    <mergeCell ref="C144:J144"/>
    <mergeCell ref="C145:J145"/>
    <mergeCell ref="C146:J146"/>
    <mergeCell ref="B147:H147"/>
    <mergeCell ref="B135:H135"/>
    <mergeCell ref="C138:H138"/>
    <mergeCell ref="B140:H140"/>
    <mergeCell ref="C141:H141"/>
    <mergeCell ref="K133:N133"/>
    <mergeCell ref="B123:J123"/>
    <mergeCell ref="K123:N123"/>
    <mergeCell ref="C111:G111"/>
    <mergeCell ref="Q111:U111"/>
    <mergeCell ref="C112:J112"/>
    <mergeCell ref="P112:V112"/>
    <mergeCell ref="B113:J113"/>
    <mergeCell ref="K113:N113"/>
    <mergeCell ref="C120:G120"/>
    <mergeCell ref="C121:J121"/>
    <mergeCell ref="C136:H136"/>
    <mergeCell ref="C137:H137"/>
    <mergeCell ref="B133:J133"/>
    <mergeCell ref="C124:J124"/>
    <mergeCell ref="B125:H125"/>
    <mergeCell ref="C126:H126"/>
    <mergeCell ref="C127:H127"/>
    <mergeCell ref="C128:H128"/>
    <mergeCell ref="B132:N132"/>
    <mergeCell ref="C107:G107"/>
    <mergeCell ref="Q107:U107"/>
    <mergeCell ref="C122:J122"/>
    <mergeCell ref="C114:J114"/>
    <mergeCell ref="B115:G115"/>
    <mergeCell ref="C116:G116"/>
    <mergeCell ref="C117:G117"/>
    <mergeCell ref="C118:G118"/>
    <mergeCell ref="C119:G119"/>
    <mergeCell ref="C108:G108"/>
    <mergeCell ref="Q108:U108"/>
    <mergeCell ref="C109:G109"/>
    <mergeCell ref="Q109:U109"/>
    <mergeCell ref="C110:G110"/>
    <mergeCell ref="Q110:U110"/>
    <mergeCell ref="C102:G102"/>
    <mergeCell ref="Q102:U102"/>
    <mergeCell ref="C103:G103"/>
    <mergeCell ref="Q103:U103"/>
    <mergeCell ref="C104:G104"/>
    <mergeCell ref="Q104:U104"/>
    <mergeCell ref="C105:G105"/>
    <mergeCell ref="Q105:U105"/>
    <mergeCell ref="C106:G106"/>
    <mergeCell ref="Q106:U106"/>
    <mergeCell ref="C97:G97"/>
    <mergeCell ref="Q97:U97"/>
    <mergeCell ref="C98:G98"/>
    <mergeCell ref="Q98:U98"/>
    <mergeCell ref="C99:G99"/>
    <mergeCell ref="Q99:U99"/>
    <mergeCell ref="C100:G100"/>
    <mergeCell ref="Q100:U100"/>
    <mergeCell ref="C101:G101"/>
    <mergeCell ref="Q101:U101"/>
    <mergeCell ref="C92:G92"/>
    <mergeCell ref="Q92:U92"/>
    <mergeCell ref="C93:G93"/>
    <mergeCell ref="Q93:U93"/>
    <mergeCell ref="C94:G94"/>
    <mergeCell ref="Q94:U94"/>
    <mergeCell ref="C95:G95"/>
    <mergeCell ref="Q95:U95"/>
    <mergeCell ref="C96:G96"/>
    <mergeCell ref="Q96:U96"/>
    <mergeCell ref="C87:G87"/>
    <mergeCell ref="Q87:U87"/>
    <mergeCell ref="C88:G88"/>
    <mergeCell ref="Q88:U88"/>
    <mergeCell ref="C89:G89"/>
    <mergeCell ref="Q89:U89"/>
    <mergeCell ref="C90:G90"/>
    <mergeCell ref="Q90:U90"/>
    <mergeCell ref="C91:G91"/>
    <mergeCell ref="Q91:U91"/>
    <mergeCell ref="C82:G82"/>
    <mergeCell ref="Q82:U82"/>
    <mergeCell ref="C83:G83"/>
    <mergeCell ref="Q83:U83"/>
    <mergeCell ref="C84:G84"/>
    <mergeCell ref="Q84:U84"/>
    <mergeCell ref="C85:G85"/>
    <mergeCell ref="Q85:U85"/>
    <mergeCell ref="C86:G86"/>
    <mergeCell ref="Q86:U86"/>
    <mergeCell ref="C77:G77"/>
    <mergeCell ref="Q77:U77"/>
    <mergeCell ref="C78:G78"/>
    <mergeCell ref="Q78:U78"/>
    <mergeCell ref="C79:G79"/>
    <mergeCell ref="Q79:U79"/>
    <mergeCell ref="C80:G80"/>
    <mergeCell ref="Q80:U80"/>
    <mergeCell ref="C81:G81"/>
    <mergeCell ref="Q81:U81"/>
    <mergeCell ref="C72:G72"/>
    <mergeCell ref="Q72:U72"/>
    <mergeCell ref="C73:G73"/>
    <mergeCell ref="Q73:U73"/>
    <mergeCell ref="C74:G74"/>
    <mergeCell ref="Q74:U74"/>
    <mergeCell ref="C75:G75"/>
    <mergeCell ref="Q75:U75"/>
    <mergeCell ref="C76:G76"/>
    <mergeCell ref="Q76:U7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65:G65"/>
    <mergeCell ref="Q65:U65"/>
    <mergeCell ref="B60:G60"/>
    <mergeCell ref="P60:U60"/>
    <mergeCell ref="C61:G61"/>
    <mergeCell ref="Q61:U61"/>
    <mergeCell ref="C62:G62"/>
    <mergeCell ref="Q62:U62"/>
    <mergeCell ref="C66:G66"/>
    <mergeCell ref="Q66:U66"/>
    <mergeCell ref="C63:G63"/>
    <mergeCell ref="Q63:U63"/>
    <mergeCell ref="B58:N58"/>
    <mergeCell ref="P57:Y57"/>
    <mergeCell ref="P58:Y58"/>
    <mergeCell ref="B59:J59"/>
    <mergeCell ref="K59:N59"/>
    <mergeCell ref="P59:X59"/>
    <mergeCell ref="C64:G64"/>
    <mergeCell ref="Q64:U64"/>
    <mergeCell ref="C54:J54"/>
    <mergeCell ref="C55:J55"/>
    <mergeCell ref="B57:N57"/>
    <mergeCell ref="C52:H52"/>
    <mergeCell ref="C53:J53"/>
    <mergeCell ref="B42:H42"/>
    <mergeCell ref="C43:H43"/>
    <mergeCell ref="C44:H44"/>
    <mergeCell ref="C45:H45"/>
    <mergeCell ref="C46:J46"/>
    <mergeCell ref="C47:J47"/>
    <mergeCell ref="B40:N40"/>
    <mergeCell ref="B41:J41"/>
    <mergeCell ref="K41:N41"/>
    <mergeCell ref="C48:J48"/>
    <mergeCell ref="B49:H49"/>
    <mergeCell ref="C38:J38"/>
    <mergeCell ref="C39:J39"/>
    <mergeCell ref="B30:G30"/>
    <mergeCell ref="C31:G31"/>
    <mergeCell ref="C32:G32"/>
    <mergeCell ref="C35:G35"/>
    <mergeCell ref="C36:G36"/>
    <mergeCell ref="C50:H50"/>
    <mergeCell ref="C51:H51"/>
    <mergeCell ref="C26:G26"/>
    <mergeCell ref="Q26:U26"/>
    <mergeCell ref="B28:J29"/>
    <mergeCell ref="K28:N29"/>
    <mergeCell ref="C33:G33"/>
    <mergeCell ref="C34:G34"/>
    <mergeCell ref="C37:G37"/>
    <mergeCell ref="C27:J27"/>
    <mergeCell ref="P27:V27"/>
    <mergeCell ref="C25:G25"/>
    <mergeCell ref="Q15:U15"/>
    <mergeCell ref="Q16:U16"/>
    <mergeCell ref="Q17:U17"/>
    <mergeCell ref="Q18:U18"/>
    <mergeCell ref="Q19:U19"/>
    <mergeCell ref="Q20:U20"/>
    <mergeCell ref="Q7:U7"/>
    <mergeCell ref="Q8:U8"/>
    <mergeCell ref="Q9:U9"/>
    <mergeCell ref="Q10:U10"/>
    <mergeCell ref="Q11:U11"/>
    <mergeCell ref="C20:G20"/>
    <mergeCell ref="C21:G21"/>
    <mergeCell ref="C22:G22"/>
    <mergeCell ref="Q21:U21"/>
    <mergeCell ref="Q22:U22"/>
    <mergeCell ref="Q23:U23"/>
    <mergeCell ref="C23:G23"/>
    <mergeCell ref="Q24:U24"/>
    <mergeCell ref="Q25:U25"/>
    <mergeCell ref="Q14:U14"/>
    <mergeCell ref="C7:G7"/>
    <mergeCell ref="C8:G8"/>
    <mergeCell ref="C9:G9"/>
    <mergeCell ref="B2:N2"/>
    <mergeCell ref="B3:N3"/>
    <mergeCell ref="P2:Y2"/>
    <mergeCell ref="P3:Y3"/>
    <mergeCell ref="C24:G24"/>
    <mergeCell ref="P4:X4"/>
    <mergeCell ref="B5:G5"/>
    <mergeCell ref="P5:U5"/>
    <mergeCell ref="C6:G6"/>
    <mergeCell ref="C10:G10"/>
    <mergeCell ref="C11:G11"/>
    <mergeCell ref="C12:G12"/>
    <mergeCell ref="C13:G13"/>
    <mergeCell ref="Q6:U6"/>
    <mergeCell ref="B4:J4"/>
    <mergeCell ref="K4:N4"/>
    <mergeCell ref="Q12:U12"/>
    <mergeCell ref="Q13:U13"/>
  </mergeCells>
  <conditionalFormatting sqref="K6:K27 K31:K39 L38:N39 K43:K48 L48:N48 K50:K55 L55:N55 K61:K112 K114 K116:K122 K124 K126:K131 K134 K136:K139 K141:K146 K148:K153">
    <cfRule type="cellIs" dxfId="5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4 A44:K45 A56:IV60 A54:J54 A61:V61 O28:IV29 A27:J27 A6:G6 A26:V26 W26:IV26 X61:IV111 A47:K47 A40:IV41 N47:IV47 A30:K30 A28:B28 K28 A29 K6:V6 A39:B39 D31:G31 A31:B34 H32:K34 A37 C37:J37 A38:J38 A53:IV53 A48:J48 O48:IV48 W6:IV6 A62:V111 A5:K5 N5:IV5 N30:IV34 D39:J39 A42:K42 N42:IV42 A49:K49 N49:IV49 O27:W27 O37:IV39 A55:J55 O54:IV55 Z27:IV27 A112:IV65448 A46:J46 O46:IV46 A43:K43 N43:IV43 N44:IV45 A50:K50 N50:IV50 A51:K52 N51:IV52 K3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1"/>
  <dimension ref="A1:DC106"/>
  <sheetViews>
    <sheetView zoomScale="130" zoomScaleNormal="130" workbookViewId="0">
      <selection activeCell="I4" sqref="I4"/>
    </sheetView>
  </sheetViews>
  <sheetFormatPr defaultColWidth="9.140625" defaultRowHeight="15" customHeight="1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1.7109375" style="76" customWidth="1"/>
    <col min="5" max="5" width="9.85546875" style="219" bestFit="1" customWidth="1"/>
    <col min="6" max="6" width="11" style="220" bestFit="1" customWidth="1"/>
    <col min="7" max="7" width="12.7109375" style="76" customWidth="1"/>
    <col min="8" max="107" width="11.7109375" style="76" customWidth="1"/>
    <col min="108" max="16384" width="9.140625" style="76"/>
  </cols>
  <sheetData>
    <row r="1" spans="1:107" ht="15" customHeight="1" x14ac:dyDescent="0.25">
      <c r="A1" s="52"/>
    </row>
    <row r="2" spans="1:107" ht="15" customHeight="1" x14ac:dyDescent="0.25">
      <c r="B2" s="649" t="s">
        <v>4351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</row>
    <row r="3" spans="1:10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4352</v>
      </c>
      <c r="I3" s="224" t="s">
        <v>4353</v>
      </c>
      <c r="J3" s="224" t="s">
        <v>4354</v>
      </c>
      <c r="K3" s="224" t="s">
        <v>4355</v>
      </c>
      <c r="L3" s="224" t="s">
        <v>4356</v>
      </c>
      <c r="M3" s="224" t="s">
        <v>4357</v>
      </c>
      <c r="N3" s="224" t="s">
        <v>4358</v>
      </c>
      <c r="O3" s="224" t="s">
        <v>4359</v>
      </c>
      <c r="P3" s="224" t="s">
        <v>4360</v>
      </c>
      <c r="Q3" s="224" t="s">
        <v>4361</v>
      </c>
      <c r="R3" s="224" t="s">
        <v>4362</v>
      </c>
      <c r="S3" s="224" t="s">
        <v>4363</v>
      </c>
      <c r="T3" s="224" t="s">
        <v>4364</v>
      </c>
      <c r="U3" s="224" t="s">
        <v>4365</v>
      </c>
      <c r="V3" s="224" t="s">
        <v>4366</v>
      </c>
      <c r="W3" s="224" t="s">
        <v>4367</v>
      </c>
      <c r="X3" s="224" t="s">
        <v>4368</v>
      </c>
      <c r="Y3" s="224" t="s">
        <v>4369</v>
      </c>
      <c r="Z3" s="224" t="s">
        <v>4370</v>
      </c>
      <c r="AA3" s="224" t="s">
        <v>4371</v>
      </c>
      <c r="AB3" s="224" t="s">
        <v>4372</v>
      </c>
      <c r="AC3" s="224" t="s">
        <v>4373</v>
      </c>
      <c r="AD3" s="224" t="s">
        <v>4374</v>
      </c>
      <c r="AE3" s="224" t="s">
        <v>4375</v>
      </c>
      <c r="AF3" s="224" t="s">
        <v>4376</v>
      </c>
      <c r="AG3" s="224" t="s">
        <v>4377</v>
      </c>
      <c r="AH3" s="224" t="s">
        <v>4378</v>
      </c>
      <c r="AI3" s="224" t="s">
        <v>4379</v>
      </c>
      <c r="AJ3" s="224" t="s">
        <v>4380</v>
      </c>
      <c r="AK3" s="224" t="s">
        <v>4381</v>
      </c>
      <c r="AL3" s="224" t="s">
        <v>4382</v>
      </c>
      <c r="AM3" s="224" t="s">
        <v>4383</v>
      </c>
      <c r="AN3" s="224" t="s">
        <v>4384</v>
      </c>
      <c r="AO3" s="224" t="s">
        <v>4385</v>
      </c>
      <c r="AP3" s="224" t="s">
        <v>4386</v>
      </c>
      <c r="AQ3" s="224" t="s">
        <v>4387</v>
      </c>
      <c r="AR3" s="224" t="s">
        <v>4388</v>
      </c>
      <c r="AS3" s="224" t="s">
        <v>4389</v>
      </c>
      <c r="AT3" s="224" t="s">
        <v>4390</v>
      </c>
      <c r="AU3" s="224" t="s">
        <v>4391</v>
      </c>
      <c r="AV3" s="224" t="s">
        <v>4392</v>
      </c>
      <c r="AW3" s="224" t="s">
        <v>4393</v>
      </c>
      <c r="AX3" s="224" t="s">
        <v>4394</v>
      </c>
      <c r="AY3" s="224" t="s">
        <v>4395</v>
      </c>
      <c r="AZ3" s="224" t="s">
        <v>4396</v>
      </c>
      <c r="BA3" s="224" t="s">
        <v>4397</v>
      </c>
      <c r="BB3" s="224" t="s">
        <v>4398</v>
      </c>
      <c r="BC3" s="224" t="s">
        <v>4399</v>
      </c>
      <c r="BD3" s="224" t="s">
        <v>4400</v>
      </c>
      <c r="BE3" s="224" t="s">
        <v>4401</v>
      </c>
      <c r="BF3" s="224" t="s">
        <v>4402</v>
      </c>
      <c r="BG3" s="224" t="s">
        <v>4403</v>
      </c>
      <c r="BH3" s="224" t="s">
        <v>4404</v>
      </c>
      <c r="BI3" s="224" t="s">
        <v>4405</v>
      </c>
      <c r="BJ3" s="224" t="s">
        <v>4406</v>
      </c>
      <c r="BK3" s="224" t="s">
        <v>4407</v>
      </c>
      <c r="BL3" s="224" t="s">
        <v>4408</v>
      </c>
      <c r="BM3" s="224" t="s">
        <v>4409</v>
      </c>
      <c r="BN3" s="224" t="s">
        <v>4410</v>
      </c>
      <c r="BO3" s="224" t="s">
        <v>4411</v>
      </c>
      <c r="BP3" s="224" t="s">
        <v>4412</v>
      </c>
      <c r="BQ3" s="224" t="s">
        <v>4413</v>
      </c>
      <c r="BR3" s="224" t="s">
        <v>4414</v>
      </c>
      <c r="BS3" s="224" t="s">
        <v>4415</v>
      </c>
      <c r="BT3" s="224" t="s">
        <v>4416</v>
      </c>
      <c r="BU3" s="224" t="s">
        <v>4417</v>
      </c>
      <c r="BV3" s="224" t="s">
        <v>4418</v>
      </c>
      <c r="BW3" s="224" t="s">
        <v>4419</v>
      </c>
      <c r="BX3" s="224" t="s">
        <v>4420</v>
      </c>
      <c r="BY3" s="224" t="s">
        <v>4421</v>
      </c>
      <c r="BZ3" s="224" t="s">
        <v>4422</v>
      </c>
      <c r="CA3" s="224" t="s">
        <v>4423</v>
      </c>
      <c r="CB3" s="224" t="s">
        <v>4424</v>
      </c>
      <c r="CC3" s="224" t="s">
        <v>4425</v>
      </c>
      <c r="CD3" s="224" t="s">
        <v>4426</v>
      </c>
      <c r="CE3" s="224" t="s">
        <v>4427</v>
      </c>
      <c r="CF3" s="224" t="s">
        <v>4428</v>
      </c>
      <c r="CG3" s="224" t="s">
        <v>4429</v>
      </c>
      <c r="CH3" s="224" t="s">
        <v>4430</v>
      </c>
      <c r="CI3" s="224" t="s">
        <v>4431</v>
      </c>
      <c r="CJ3" s="224" t="s">
        <v>4432</v>
      </c>
      <c r="CK3" s="224" t="s">
        <v>4433</v>
      </c>
      <c r="CL3" s="224" t="s">
        <v>4434</v>
      </c>
      <c r="CM3" s="224" t="s">
        <v>4435</v>
      </c>
      <c r="CN3" s="224" t="s">
        <v>4436</v>
      </c>
      <c r="CO3" s="224" t="s">
        <v>4437</v>
      </c>
      <c r="CP3" s="224" t="s">
        <v>4438</v>
      </c>
      <c r="CQ3" s="224" t="s">
        <v>4439</v>
      </c>
      <c r="CR3" s="224" t="s">
        <v>4440</v>
      </c>
      <c r="CS3" s="224" t="s">
        <v>4441</v>
      </c>
      <c r="CT3" s="224" t="s">
        <v>4442</v>
      </c>
      <c r="CU3" s="224" t="s">
        <v>4443</v>
      </c>
      <c r="CV3" s="224" t="s">
        <v>4444</v>
      </c>
      <c r="CW3" s="224" t="s">
        <v>4445</v>
      </c>
      <c r="CX3" s="224" t="s">
        <v>4446</v>
      </c>
      <c r="CY3" s="224" t="s">
        <v>4447</v>
      </c>
      <c r="CZ3" s="224" t="s">
        <v>4448</v>
      </c>
      <c r="DA3" s="224" t="s">
        <v>4449</v>
      </c>
      <c r="DB3" s="224" t="s">
        <v>4450</v>
      </c>
      <c r="DC3" s="224" t="s">
        <v>4451</v>
      </c>
    </row>
    <row r="4" spans="1:10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</row>
    <row r="5" spans="1:107" s="103" customFormat="1" ht="15" customHeight="1" x14ac:dyDescent="0.25">
      <c r="B5" s="348">
        <v>2</v>
      </c>
      <c r="C5" s="349" t="s">
        <v>4196</v>
      </c>
      <c r="D5" s="350"/>
      <c r="E5" s="350"/>
      <c r="F5" s="351"/>
      <c r="G5" s="352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</row>
    <row r="6" spans="1:107" ht="15" customHeight="1" x14ac:dyDescent="0.25">
      <c r="B6" s="515">
        <v>3</v>
      </c>
      <c r="C6" s="225" t="s">
        <v>4452</v>
      </c>
      <c r="D6" s="225"/>
      <c r="E6" s="226" t="s">
        <v>4453</v>
      </c>
      <c r="F6" s="232" t="s">
        <v>4259</v>
      </c>
      <c r="G6" s="235">
        <f>SUM(H6:DC6)</f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</row>
    <row r="7" spans="1:107" ht="15" customHeight="1" x14ac:dyDescent="0.25">
      <c r="B7" s="515">
        <v>4</v>
      </c>
      <c r="C7" s="225" t="s">
        <v>4335</v>
      </c>
      <c r="D7" s="225"/>
      <c r="E7" s="231" t="s">
        <v>3912</v>
      </c>
      <c r="F7" s="292" t="s">
        <v>4454</v>
      </c>
      <c r="G7" s="237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</row>
    <row r="8" spans="1:107" ht="15" customHeight="1" x14ac:dyDescent="0.25">
      <c r="B8" s="899">
        <v>5</v>
      </c>
      <c r="C8" s="225" t="s">
        <v>4455</v>
      </c>
      <c r="D8" s="225"/>
      <c r="E8" s="231" t="s">
        <v>3912</v>
      </c>
      <c r="F8" s="292" t="s">
        <v>4456</v>
      </c>
      <c r="G8" s="23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</row>
    <row r="9" spans="1:107" ht="15" customHeight="1" x14ac:dyDescent="0.25">
      <c r="B9" s="901"/>
      <c r="C9" s="225" t="s">
        <v>4457</v>
      </c>
      <c r="D9" s="225"/>
      <c r="E9" s="231" t="s">
        <v>3912</v>
      </c>
      <c r="F9" s="292" t="s">
        <v>4458</v>
      </c>
      <c r="G9" s="23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</row>
    <row r="10" spans="1:107" ht="15" customHeight="1" x14ac:dyDescent="0.25">
      <c r="B10" s="515">
        <v>6</v>
      </c>
      <c r="C10" s="225" t="s">
        <v>3980</v>
      </c>
      <c r="D10" s="225"/>
      <c r="E10" s="231"/>
      <c r="F10" s="232" t="s">
        <v>4257</v>
      </c>
      <c r="G10" s="235">
        <f>SUM(H10:DC10)</f>
        <v>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7" ht="15" customHeight="1" x14ac:dyDescent="0.25">
      <c r="B11" s="544">
        <v>7</v>
      </c>
      <c r="C11" s="225" t="s">
        <v>4205</v>
      </c>
      <c r="D11" s="225"/>
      <c r="E11" s="231" t="s">
        <v>3857</v>
      </c>
      <c r="F11" s="232" t="s">
        <v>4206</v>
      </c>
      <c r="G11" s="554">
        <f>SUM(H11:DC11)</f>
        <v>0</v>
      </c>
      <c r="H11" s="241">
        <f>IF(H8=0,0,(H6*0.736*H10)/H8)</f>
        <v>0</v>
      </c>
      <c r="I11" s="241">
        <f t="shared" ref="I11:BD11" si="0">IF(I8=0,0,(I6*0.736*I10)/I8)</f>
        <v>0</v>
      </c>
      <c r="J11" s="241">
        <f t="shared" si="0"/>
        <v>0</v>
      </c>
      <c r="K11" s="241">
        <f t="shared" si="0"/>
        <v>0</v>
      </c>
      <c r="L11" s="241">
        <f t="shared" si="0"/>
        <v>0</v>
      </c>
      <c r="M11" s="241">
        <f t="shared" si="0"/>
        <v>0</v>
      </c>
      <c r="N11" s="241">
        <f t="shared" si="0"/>
        <v>0</v>
      </c>
      <c r="O11" s="241">
        <f t="shared" si="0"/>
        <v>0</v>
      </c>
      <c r="P11" s="241">
        <f t="shared" si="0"/>
        <v>0</v>
      </c>
      <c r="Q11" s="241">
        <f t="shared" si="0"/>
        <v>0</v>
      </c>
      <c r="R11" s="241">
        <f t="shared" si="0"/>
        <v>0</v>
      </c>
      <c r="S11" s="241">
        <f t="shared" si="0"/>
        <v>0</v>
      </c>
      <c r="T11" s="241">
        <f t="shared" si="0"/>
        <v>0</v>
      </c>
      <c r="U11" s="241">
        <f t="shared" si="0"/>
        <v>0</v>
      </c>
      <c r="V11" s="241">
        <f t="shared" si="0"/>
        <v>0</v>
      </c>
      <c r="W11" s="241">
        <f t="shared" si="0"/>
        <v>0</v>
      </c>
      <c r="X11" s="241">
        <f t="shared" si="0"/>
        <v>0</v>
      </c>
      <c r="Y11" s="241">
        <f t="shared" si="0"/>
        <v>0</v>
      </c>
      <c r="Z11" s="241">
        <f t="shared" si="0"/>
        <v>0</v>
      </c>
      <c r="AA11" s="241">
        <f t="shared" si="0"/>
        <v>0</v>
      </c>
      <c r="AB11" s="241">
        <f t="shared" si="0"/>
        <v>0</v>
      </c>
      <c r="AC11" s="241">
        <f t="shared" si="0"/>
        <v>0</v>
      </c>
      <c r="AD11" s="241">
        <f t="shared" si="0"/>
        <v>0</v>
      </c>
      <c r="AE11" s="241">
        <f t="shared" si="0"/>
        <v>0</v>
      </c>
      <c r="AF11" s="241">
        <f t="shared" si="0"/>
        <v>0</v>
      </c>
      <c r="AG11" s="241">
        <f t="shared" si="0"/>
        <v>0</v>
      </c>
      <c r="AH11" s="241">
        <f t="shared" si="0"/>
        <v>0</v>
      </c>
      <c r="AI11" s="241">
        <f t="shared" si="0"/>
        <v>0</v>
      </c>
      <c r="AJ11" s="241">
        <f t="shared" si="0"/>
        <v>0</v>
      </c>
      <c r="AK11" s="241">
        <f t="shared" si="0"/>
        <v>0</v>
      </c>
      <c r="AL11" s="241">
        <f t="shared" si="0"/>
        <v>0</v>
      </c>
      <c r="AM11" s="241">
        <f t="shared" si="0"/>
        <v>0</v>
      </c>
      <c r="AN11" s="241">
        <f t="shared" si="0"/>
        <v>0</v>
      </c>
      <c r="AO11" s="241">
        <f t="shared" si="0"/>
        <v>0</v>
      </c>
      <c r="AP11" s="241">
        <f t="shared" si="0"/>
        <v>0</v>
      </c>
      <c r="AQ11" s="241">
        <f t="shared" si="0"/>
        <v>0</v>
      </c>
      <c r="AR11" s="241">
        <f t="shared" si="0"/>
        <v>0</v>
      </c>
      <c r="AS11" s="241">
        <f t="shared" si="0"/>
        <v>0</v>
      </c>
      <c r="AT11" s="241">
        <f t="shared" si="0"/>
        <v>0</v>
      </c>
      <c r="AU11" s="241">
        <f t="shared" si="0"/>
        <v>0</v>
      </c>
      <c r="AV11" s="241">
        <f t="shared" si="0"/>
        <v>0</v>
      </c>
      <c r="AW11" s="241">
        <f t="shared" si="0"/>
        <v>0</v>
      </c>
      <c r="AX11" s="241">
        <f t="shared" si="0"/>
        <v>0</v>
      </c>
      <c r="AY11" s="241">
        <f t="shared" si="0"/>
        <v>0</v>
      </c>
      <c r="AZ11" s="241">
        <f t="shared" si="0"/>
        <v>0</v>
      </c>
      <c r="BA11" s="241">
        <f t="shared" si="0"/>
        <v>0</v>
      </c>
      <c r="BB11" s="241">
        <f t="shared" si="0"/>
        <v>0</v>
      </c>
      <c r="BC11" s="241">
        <f t="shared" si="0"/>
        <v>0</v>
      </c>
      <c r="BD11" s="241">
        <f t="shared" si="0"/>
        <v>0</v>
      </c>
      <c r="BE11" s="241">
        <f t="shared" ref="BE11:DC11" si="1">IF(BE8=0,0,(BE6*0.736*BE10)/BE8)</f>
        <v>0</v>
      </c>
      <c r="BF11" s="241">
        <f t="shared" si="1"/>
        <v>0</v>
      </c>
      <c r="BG11" s="241">
        <f t="shared" si="1"/>
        <v>0</v>
      </c>
      <c r="BH11" s="241">
        <f t="shared" si="1"/>
        <v>0</v>
      </c>
      <c r="BI11" s="241">
        <f t="shared" si="1"/>
        <v>0</v>
      </c>
      <c r="BJ11" s="241">
        <f t="shared" si="1"/>
        <v>0</v>
      </c>
      <c r="BK11" s="241">
        <f t="shared" si="1"/>
        <v>0</v>
      </c>
      <c r="BL11" s="241">
        <f t="shared" si="1"/>
        <v>0</v>
      </c>
      <c r="BM11" s="241">
        <f t="shared" si="1"/>
        <v>0</v>
      </c>
      <c r="BN11" s="241">
        <f t="shared" si="1"/>
        <v>0</v>
      </c>
      <c r="BO11" s="241">
        <f t="shared" si="1"/>
        <v>0</v>
      </c>
      <c r="BP11" s="241">
        <f t="shared" si="1"/>
        <v>0</v>
      </c>
      <c r="BQ11" s="241">
        <f t="shared" si="1"/>
        <v>0</v>
      </c>
      <c r="BR11" s="241">
        <f t="shared" si="1"/>
        <v>0</v>
      </c>
      <c r="BS11" s="241">
        <f t="shared" si="1"/>
        <v>0</v>
      </c>
      <c r="BT11" s="241">
        <f t="shared" si="1"/>
        <v>0</v>
      </c>
      <c r="BU11" s="241">
        <f t="shared" si="1"/>
        <v>0</v>
      </c>
      <c r="BV11" s="241">
        <f t="shared" si="1"/>
        <v>0</v>
      </c>
      <c r="BW11" s="241">
        <f t="shared" si="1"/>
        <v>0</v>
      </c>
      <c r="BX11" s="241">
        <f t="shared" si="1"/>
        <v>0</v>
      </c>
      <c r="BY11" s="241">
        <f t="shared" si="1"/>
        <v>0</v>
      </c>
      <c r="BZ11" s="241">
        <f t="shared" si="1"/>
        <v>0</v>
      </c>
      <c r="CA11" s="241">
        <f t="shared" si="1"/>
        <v>0</v>
      </c>
      <c r="CB11" s="241">
        <f t="shared" si="1"/>
        <v>0</v>
      </c>
      <c r="CC11" s="241">
        <f t="shared" si="1"/>
        <v>0</v>
      </c>
      <c r="CD11" s="241">
        <f t="shared" si="1"/>
        <v>0</v>
      </c>
      <c r="CE11" s="241">
        <f t="shared" si="1"/>
        <v>0</v>
      </c>
      <c r="CF11" s="241">
        <f t="shared" si="1"/>
        <v>0</v>
      </c>
      <c r="CG11" s="241">
        <f t="shared" si="1"/>
        <v>0</v>
      </c>
      <c r="CH11" s="241">
        <f t="shared" si="1"/>
        <v>0</v>
      </c>
      <c r="CI11" s="241">
        <f t="shared" si="1"/>
        <v>0</v>
      </c>
      <c r="CJ11" s="241">
        <f t="shared" si="1"/>
        <v>0</v>
      </c>
      <c r="CK11" s="241">
        <f t="shared" si="1"/>
        <v>0</v>
      </c>
      <c r="CL11" s="241">
        <f t="shared" si="1"/>
        <v>0</v>
      </c>
      <c r="CM11" s="241">
        <f t="shared" si="1"/>
        <v>0</v>
      </c>
      <c r="CN11" s="241">
        <f t="shared" si="1"/>
        <v>0</v>
      </c>
      <c r="CO11" s="241">
        <f t="shared" si="1"/>
        <v>0</v>
      </c>
      <c r="CP11" s="241">
        <f t="shared" si="1"/>
        <v>0</v>
      </c>
      <c r="CQ11" s="241">
        <f t="shared" si="1"/>
        <v>0</v>
      </c>
      <c r="CR11" s="241">
        <f t="shared" si="1"/>
        <v>0</v>
      </c>
      <c r="CS11" s="241">
        <f t="shared" si="1"/>
        <v>0</v>
      </c>
      <c r="CT11" s="241">
        <f t="shared" si="1"/>
        <v>0</v>
      </c>
      <c r="CU11" s="241">
        <f t="shared" si="1"/>
        <v>0</v>
      </c>
      <c r="CV11" s="241">
        <f t="shared" si="1"/>
        <v>0</v>
      </c>
      <c r="CW11" s="241">
        <f t="shared" si="1"/>
        <v>0</v>
      </c>
      <c r="CX11" s="241">
        <f t="shared" si="1"/>
        <v>0</v>
      </c>
      <c r="CY11" s="241">
        <f t="shared" si="1"/>
        <v>0</v>
      </c>
      <c r="CZ11" s="241">
        <f t="shared" si="1"/>
        <v>0</v>
      </c>
      <c r="DA11" s="241">
        <f t="shared" si="1"/>
        <v>0</v>
      </c>
      <c r="DB11" s="241">
        <f t="shared" si="1"/>
        <v>0</v>
      </c>
      <c r="DC11" s="241">
        <f t="shared" si="1"/>
        <v>0</v>
      </c>
    </row>
    <row r="12" spans="1:107" ht="15" customHeight="1" x14ac:dyDescent="0.25">
      <c r="B12" s="544">
        <v>8</v>
      </c>
      <c r="C12" s="225" t="s">
        <v>4459</v>
      </c>
      <c r="D12" s="225"/>
      <c r="E12" s="231" t="s">
        <v>3857</v>
      </c>
      <c r="F12" s="232" t="s">
        <v>4320</v>
      </c>
      <c r="G12" s="554">
        <f>SUM(H12:DC12)</f>
        <v>0</v>
      </c>
      <c r="H12" s="241">
        <f>IF(H9=0,0,H11*H7*(H8/H9))</f>
        <v>0</v>
      </c>
      <c r="I12" s="241">
        <f t="shared" ref="I12:BD12" si="2">IF(I9=0,0,I11*I7*(I8/I9))</f>
        <v>0</v>
      </c>
      <c r="J12" s="241">
        <f t="shared" si="2"/>
        <v>0</v>
      </c>
      <c r="K12" s="241">
        <f t="shared" si="2"/>
        <v>0</v>
      </c>
      <c r="L12" s="241">
        <f t="shared" si="2"/>
        <v>0</v>
      </c>
      <c r="M12" s="241">
        <f t="shared" si="2"/>
        <v>0</v>
      </c>
      <c r="N12" s="241">
        <f t="shared" si="2"/>
        <v>0</v>
      </c>
      <c r="O12" s="241">
        <f t="shared" si="2"/>
        <v>0</v>
      </c>
      <c r="P12" s="241">
        <f t="shared" si="2"/>
        <v>0</v>
      </c>
      <c r="Q12" s="241">
        <f t="shared" si="2"/>
        <v>0</v>
      </c>
      <c r="R12" s="241">
        <f t="shared" si="2"/>
        <v>0</v>
      </c>
      <c r="S12" s="241">
        <f t="shared" si="2"/>
        <v>0</v>
      </c>
      <c r="T12" s="241">
        <f t="shared" si="2"/>
        <v>0</v>
      </c>
      <c r="U12" s="241">
        <f t="shared" si="2"/>
        <v>0</v>
      </c>
      <c r="V12" s="241">
        <f t="shared" si="2"/>
        <v>0</v>
      </c>
      <c r="W12" s="241">
        <f t="shared" si="2"/>
        <v>0</v>
      </c>
      <c r="X12" s="241">
        <f t="shared" si="2"/>
        <v>0</v>
      </c>
      <c r="Y12" s="241">
        <f t="shared" si="2"/>
        <v>0</v>
      </c>
      <c r="Z12" s="241">
        <f t="shared" si="2"/>
        <v>0</v>
      </c>
      <c r="AA12" s="241">
        <f t="shared" si="2"/>
        <v>0</v>
      </c>
      <c r="AB12" s="241">
        <f t="shared" si="2"/>
        <v>0</v>
      </c>
      <c r="AC12" s="241">
        <f t="shared" si="2"/>
        <v>0</v>
      </c>
      <c r="AD12" s="241">
        <f t="shared" si="2"/>
        <v>0</v>
      </c>
      <c r="AE12" s="241">
        <f t="shared" si="2"/>
        <v>0</v>
      </c>
      <c r="AF12" s="241">
        <f t="shared" si="2"/>
        <v>0</v>
      </c>
      <c r="AG12" s="241">
        <f t="shared" si="2"/>
        <v>0</v>
      </c>
      <c r="AH12" s="241">
        <f t="shared" si="2"/>
        <v>0</v>
      </c>
      <c r="AI12" s="241">
        <f t="shared" si="2"/>
        <v>0</v>
      </c>
      <c r="AJ12" s="241">
        <f t="shared" si="2"/>
        <v>0</v>
      </c>
      <c r="AK12" s="241">
        <f t="shared" si="2"/>
        <v>0</v>
      </c>
      <c r="AL12" s="241">
        <f t="shared" si="2"/>
        <v>0</v>
      </c>
      <c r="AM12" s="241">
        <f t="shared" si="2"/>
        <v>0</v>
      </c>
      <c r="AN12" s="241">
        <f t="shared" si="2"/>
        <v>0</v>
      </c>
      <c r="AO12" s="241">
        <f t="shared" si="2"/>
        <v>0</v>
      </c>
      <c r="AP12" s="241">
        <f t="shared" si="2"/>
        <v>0</v>
      </c>
      <c r="AQ12" s="241">
        <f t="shared" si="2"/>
        <v>0</v>
      </c>
      <c r="AR12" s="241">
        <f t="shared" si="2"/>
        <v>0</v>
      </c>
      <c r="AS12" s="241">
        <f t="shared" si="2"/>
        <v>0</v>
      </c>
      <c r="AT12" s="241">
        <f t="shared" si="2"/>
        <v>0</v>
      </c>
      <c r="AU12" s="241">
        <f t="shared" si="2"/>
        <v>0</v>
      </c>
      <c r="AV12" s="241">
        <f t="shared" si="2"/>
        <v>0</v>
      </c>
      <c r="AW12" s="241">
        <f t="shared" si="2"/>
        <v>0</v>
      </c>
      <c r="AX12" s="241">
        <f t="shared" si="2"/>
        <v>0</v>
      </c>
      <c r="AY12" s="241">
        <f t="shared" si="2"/>
        <v>0</v>
      </c>
      <c r="AZ12" s="241">
        <f t="shared" si="2"/>
        <v>0</v>
      </c>
      <c r="BA12" s="241">
        <f t="shared" si="2"/>
        <v>0</v>
      </c>
      <c r="BB12" s="241">
        <f t="shared" si="2"/>
        <v>0</v>
      </c>
      <c r="BC12" s="241">
        <f t="shared" si="2"/>
        <v>0</v>
      </c>
      <c r="BD12" s="241">
        <f t="shared" si="2"/>
        <v>0</v>
      </c>
      <c r="BE12" s="241">
        <f t="shared" ref="BE12:DC12" si="3">IF(BE9=0,0,BE11*BE7*(BE8/BE9))</f>
        <v>0</v>
      </c>
      <c r="BF12" s="241">
        <f t="shared" si="3"/>
        <v>0</v>
      </c>
      <c r="BG12" s="241">
        <f t="shared" si="3"/>
        <v>0</v>
      </c>
      <c r="BH12" s="241">
        <f t="shared" si="3"/>
        <v>0</v>
      </c>
      <c r="BI12" s="241">
        <f t="shared" si="3"/>
        <v>0</v>
      </c>
      <c r="BJ12" s="241">
        <f t="shared" si="3"/>
        <v>0</v>
      </c>
      <c r="BK12" s="241">
        <f t="shared" si="3"/>
        <v>0</v>
      </c>
      <c r="BL12" s="241">
        <f t="shared" si="3"/>
        <v>0</v>
      </c>
      <c r="BM12" s="241">
        <f t="shared" si="3"/>
        <v>0</v>
      </c>
      <c r="BN12" s="241">
        <f t="shared" si="3"/>
        <v>0</v>
      </c>
      <c r="BO12" s="241">
        <f t="shared" si="3"/>
        <v>0</v>
      </c>
      <c r="BP12" s="241">
        <f t="shared" si="3"/>
        <v>0</v>
      </c>
      <c r="BQ12" s="241">
        <f t="shared" si="3"/>
        <v>0</v>
      </c>
      <c r="BR12" s="241">
        <f t="shared" si="3"/>
        <v>0</v>
      </c>
      <c r="BS12" s="241">
        <f t="shared" si="3"/>
        <v>0</v>
      </c>
      <c r="BT12" s="241">
        <f t="shared" si="3"/>
        <v>0</v>
      </c>
      <c r="BU12" s="241">
        <f t="shared" si="3"/>
        <v>0</v>
      </c>
      <c r="BV12" s="241">
        <f t="shared" si="3"/>
        <v>0</v>
      </c>
      <c r="BW12" s="241">
        <f t="shared" si="3"/>
        <v>0</v>
      </c>
      <c r="BX12" s="241">
        <f t="shared" si="3"/>
        <v>0</v>
      </c>
      <c r="BY12" s="241">
        <f t="shared" si="3"/>
        <v>0</v>
      </c>
      <c r="BZ12" s="241">
        <f t="shared" si="3"/>
        <v>0</v>
      </c>
      <c r="CA12" s="241">
        <f t="shared" si="3"/>
        <v>0</v>
      </c>
      <c r="CB12" s="241">
        <f t="shared" si="3"/>
        <v>0</v>
      </c>
      <c r="CC12" s="241">
        <f t="shared" si="3"/>
        <v>0</v>
      </c>
      <c r="CD12" s="241">
        <f t="shared" si="3"/>
        <v>0</v>
      </c>
      <c r="CE12" s="241">
        <f t="shared" si="3"/>
        <v>0</v>
      </c>
      <c r="CF12" s="241">
        <f t="shared" si="3"/>
        <v>0</v>
      </c>
      <c r="CG12" s="241">
        <f t="shared" si="3"/>
        <v>0</v>
      </c>
      <c r="CH12" s="241">
        <f t="shared" si="3"/>
        <v>0</v>
      </c>
      <c r="CI12" s="241">
        <f t="shared" si="3"/>
        <v>0</v>
      </c>
      <c r="CJ12" s="241">
        <f t="shared" si="3"/>
        <v>0</v>
      </c>
      <c r="CK12" s="241">
        <f t="shared" si="3"/>
        <v>0</v>
      </c>
      <c r="CL12" s="241">
        <f t="shared" si="3"/>
        <v>0</v>
      </c>
      <c r="CM12" s="241">
        <f t="shared" si="3"/>
        <v>0</v>
      </c>
      <c r="CN12" s="241">
        <f t="shared" si="3"/>
        <v>0</v>
      </c>
      <c r="CO12" s="241">
        <f t="shared" si="3"/>
        <v>0</v>
      </c>
      <c r="CP12" s="241">
        <f t="shared" si="3"/>
        <v>0</v>
      </c>
      <c r="CQ12" s="241">
        <f t="shared" si="3"/>
        <v>0</v>
      </c>
      <c r="CR12" s="241">
        <f t="shared" si="3"/>
        <v>0</v>
      </c>
      <c r="CS12" s="241">
        <f t="shared" si="3"/>
        <v>0</v>
      </c>
      <c r="CT12" s="241">
        <f t="shared" si="3"/>
        <v>0</v>
      </c>
      <c r="CU12" s="241">
        <f t="shared" si="3"/>
        <v>0</v>
      </c>
      <c r="CV12" s="241">
        <f t="shared" si="3"/>
        <v>0</v>
      </c>
      <c r="CW12" s="241">
        <f t="shared" si="3"/>
        <v>0</v>
      </c>
      <c r="CX12" s="241">
        <f t="shared" si="3"/>
        <v>0</v>
      </c>
      <c r="CY12" s="241">
        <f t="shared" si="3"/>
        <v>0</v>
      </c>
      <c r="CZ12" s="241">
        <f t="shared" si="3"/>
        <v>0</v>
      </c>
      <c r="DA12" s="241">
        <f t="shared" si="3"/>
        <v>0</v>
      </c>
      <c r="DB12" s="241">
        <f t="shared" si="3"/>
        <v>0</v>
      </c>
      <c r="DC12" s="241">
        <f t="shared" si="3"/>
        <v>0</v>
      </c>
    </row>
    <row r="13" spans="1:107" ht="15" customHeight="1" x14ac:dyDescent="0.25">
      <c r="B13" s="899">
        <v>9</v>
      </c>
      <c r="C13" s="225" t="s">
        <v>4207</v>
      </c>
      <c r="D13" s="225"/>
      <c r="E13" s="231" t="s">
        <v>4208</v>
      </c>
      <c r="F13" s="232"/>
      <c r="G13" s="237" t="str">
        <f>IF(COUNTA(H13:DC13)=0,"",IF(OR(LARGE(H13:DC13,1)&gt;24,SMALL(H13:DC13,1)&lt;0),"ERRO",""))</f>
        <v/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</row>
    <row r="14" spans="1:107" ht="15" customHeight="1" x14ac:dyDescent="0.25">
      <c r="B14" s="900"/>
      <c r="C14" s="239" t="s">
        <v>4209</v>
      </c>
      <c r="D14" s="239"/>
      <c r="E14" s="558" t="s">
        <v>4210</v>
      </c>
      <c r="F14" s="232"/>
      <c r="G14" s="237" t="str">
        <f>IF(COUNTA(H14:DC14)=0,"",IF(OR(LARGE(H14:DC14,1)&gt;365,SMALL(H14:DC14,1)&lt;0),"ERRO",""))</f>
        <v/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</row>
    <row r="15" spans="1:107" ht="15" customHeight="1" x14ac:dyDescent="0.25">
      <c r="B15" s="901"/>
      <c r="C15" s="225" t="s">
        <v>4211</v>
      </c>
      <c r="D15" s="225"/>
      <c r="E15" s="231" t="s">
        <v>4212</v>
      </c>
      <c r="F15" s="232" t="s">
        <v>4213</v>
      </c>
      <c r="G15" s="237" t="str">
        <f>IF(COUNTA(H15:DC15)=0,"",IF(OR(LARGE(H15:DC15,1)&gt;8760,SMALL(H15:DC15,1)&lt;0),"ERRO",""))</f>
        <v/>
      </c>
      <c r="H15" s="241">
        <f>H13*H14</f>
        <v>0</v>
      </c>
      <c r="I15" s="241">
        <f t="shared" ref="I15:BD15" si="4">I13*I14</f>
        <v>0</v>
      </c>
      <c r="J15" s="241">
        <f t="shared" si="4"/>
        <v>0</v>
      </c>
      <c r="K15" s="241">
        <f t="shared" si="4"/>
        <v>0</v>
      </c>
      <c r="L15" s="241">
        <f t="shared" si="4"/>
        <v>0</v>
      </c>
      <c r="M15" s="241">
        <f t="shared" si="4"/>
        <v>0</v>
      </c>
      <c r="N15" s="241">
        <f t="shared" si="4"/>
        <v>0</v>
      </c>
      <c r="O15" s="241">
        <f t="shared" si="4"/>
        <v>0</v>
      </c>
      <c r="P15" s="241">
        <f t="shared" si="4"/>
        <v>0</v>
      </c>
      <c r="Q15" s="241">
        <f t="shared" si="4"/>
        <v>0</v>
      </c>
      <c r="R15" s="241">
        <f t="shared" si="4"/>
        <v>0</v>
      </c>
      <c r="S15" s="241">
        <f t="shared" si="4"/>
        <v>0</v>
      </c>
      <c r="T15" s="241">
        <f t="shared" si="4"/>
        <v>0</v>
      </c>
      <c r="U15" s="241">
        <f t="shared" si="4"/>
        <v>0</v>
      </c>
      <c r="V15" s="241">
        <f t="shared" si="4"/>
        <v>0</v>
      </c>
      <c r="W15" s="241">
        <f t="shared" si="4"/>
        <v>0</v>
      </c>
      <c r="X15" s="241">
        <f t="shared" si="4"/>
        <v>0</v>
      </c>
      <c r="Y15" s="241">
        <f t="shared" si="4"/>
        <v>0</v>
      </c>
      <c r="Z15" s="241">
        <f t="shared" si="4"/>
        <v>0</v>
      </c>
      <c r="AA15" s="241">
        <f t="shared" si="4"/>
        <v>0</v>
      </c>
      <c r="AB15" s="241">
        <f t="shared" si="4"/>
        <v>0</v>
      </c>
      <c r="AC15" s="241">
        <f t="shared" si="4"/>
        <v>0</v>
      </c>
      <c r="AD15" s="241">
        <f t="shared" si="4"/>
        <v>0</v>
      </c>
      <c r="AE15" s="241">
        <f t="shared" si="4"/>
        <v>0</v>
      </c>
      <c r="AF15" s="241">
        <f t="shared" si="4"/>
        <v>0</v>
      </c>
      <c r="AG15" s="241">
        <f t="shared" si="4"/>
        <v>0</v>
      </c>
      <c r="AH15" s="241">
        <f t="shared" si="4"/>
        <v>0</v>
      </c>
      <c r="AI15" s="241">
        <f t="shared" si="4"/>
        <v>0</v>
      </c>
      <c r="AJ15" s="241">
        <f t="shared" si="4"/>
        <v>0</v>
      </c>
      <c r="AK15" s="241">
        <f t="shared" si="4"/>
        <v>0</v>
      </c>
      <c r="AL15" s="241">
        <f t="shared" si="4"/>
        <v>0</v>
      </c>
      <c r="AM15" s="241">
        <f t="shared" si="4"/>
        <v>0</v>
      </c>
      <c r="AN15" s="241">
        <f t="shared" si="4"/>
        <v>0</v>
      </c>
      <c r="AO15" s="241">
        <f t="shared" si="4"/>
        <v>0</v>
      </c>
      <c r="AP15" s="241">
        <f t="shared" si="4"/>
        <v>0</v>
      </c>
      <c r="AQ15" s="241">
        <f t="shared" si="4"/>
        <v>0</v>
      </c>
      <c r="AR15" s="241">
        <f t="shared" si="4"/>
        <v>0</v>
      </c>
      <c r="AS15" s="241">
        <f t="shared" si="4"/>
        <v>0</v>
      </c>
      <c r="AT15" s="241">
        <f t="shared" si="4"/>
        <v>0</v>
      </c>
      <c r="AU15" s="241">
        <f t="shared" si="4"/>
        <v>0</v>
      </c>
      <c r="AV15" s="241">
        <f t="shared" si="4"/>
        <v>0</v>
      </c>
      <c r="AW15" s="241">
        <f t="shared" si="4"/>
        <v>0</v>
      </c>
      <c r="AX15" s="241">
        <f t="shared" si="4"/>
        <v>0</v>
      </c>
      <c r="AY15" s="241">
        <f t="shared" si="4"/>
        <v>0</v>
      </c>
      <c r="AZ15" s="241">
        <f t="shared" si="4"/>
        <v>0</v>
      </c>
      <c r="BA15" s="241">
        <f t="shared" si="4"/>
        <v>0</v>
      </c>
      <c r="BB15" s="241">
        <f t="shared" si="4"/>
        <v>0</v>
      </c>
      <c r="BC15" s="241">
        <f t="shared" si="4"/>
        <v>0</v>
      </c>
      <c r="BD15" s="241">
        <f t="shared" si="4"/>
        <v>0</v>
      </c>
      <c r="BE15" s="241">
        <f t="shared" ref="BE15:DC15" si="5">BE13*BE14</f>
        <v>0</v>
      </c>
      <c r="BF15" s="241">
        <f t="shared" si="5"/>
        <v>0</v>
      </c>
      <c r="BG15" s="241">
        <f t="shared" si="5"/>
        <v>0</v>
      </c>
      <c r="BH15" s="241">
        <f t="shared" si="5"/>
        <v>0</v>
      </c>
      <c r="BI15" s="241">
        <f t="shared" si="5"/>
        <v>0</v>
      </c>
      <c r="BJ15" s="241">
        <f t="shared" si="5"/>
        <v>0</v>
      </c>
      <c r="BK15" s="241">
        <f t="shared" si="5"/>
        <v>0</v>
      </c>
      <c r="BL15" s="241">
        <f t="shared" si="5"/>
        <v>0</v>
      </c>
      <c r="BM15" s="241">
        <f t="shared" si="5"/>
        <v>0</v>
      </c>
      <c r="BN15" s="241">
        <f t="shared" si="5"/>
        <v>0</v>
      </c>
      <c r="BO15" s="241">
        <f t="shared" si="5"/>
        <v>0</v>
      </c>
      <c r="BP15" s="241">
        <f t="shared" si="5"/>
        <v>0</v>
      </c>
      <c r="BQ15" s="241">
        <f t="shared" si="5"/>
        <v>0</v>
      </c>
      <c r="BR15" s="241">
        <f t="shared" si="5"/>
        <v>0</v>
      </c>
      <c r="BS15" s="241">
        <f t="shared" si="5"/>
        <v>0</v>
      </c>
      <c r="BT15" s="241">
        <f t="shared" si="5"/>
        <v>0</v>
      </c>
      <c r="BU15" s="241">
        <f t="shared" si="5"/>
        <v>0</v>
      </c>
      <c r="BV15" s="241">
        <f t="shared" si="5"/>
        <v>0</v>
      </c>
      <c r="BW15" s="241">
        <f t="shared" si="5"/>
        <v>0</v>
      </c>
      <c r="BX15" s="241">
        <f t="shared" si="5"/>
        <v>0</v>
      </c>
      <c r="BY15" s="241">
        <f t="shared" si="5"/>
        <v>0</v>
      </c>
      <c r="BZ15" s="241">
        <f t="shared" si="5"/>
        <v>0</v>
      </c>
      <c r="CA15" s="241">
        <f t="shared" si="5"/>
        <v>0</v>
      </c>
      <c r="CB15" s="241">
        <f t="shared" si="5"/>
        <v>0</v>
      </c>
      <c r="CC15" s="241">
        <f t="shared" si="5"/>
        <v>0</v>
      </c>
      <c r="CD15" s="241">
        <f t="shared" si="5"/>
        <v>0</v>
      </c>
      <c r="CE15" s="241">
        <f t="shared" si="5"/>
        <v>0</v>
      </c>
      <c r="CF15" s="241">
        <f t="shared" si="5"/>
        <v>0</v>
      </c>
      <c r="CG15" s="241">
        <f t="shared" si="5"/>
        <v>0</v>
      </c>
      <c r="CH15" s="241">
        <f t="shared" si="5"/>
        <v>0</v>
      </c>
      <c r="CI15" s="241">
        <f t="shared" si="5"/>
        <v>0</v>
      </c>
      <c r="CJ15" s="241">
        <f t="shared" si="5"/>
        <v>0</v>
      </c>
      <c r="CK15" s="241">
        <f t="shared" si="5"/>
        <v>0</v>
      </c>
      <c r="CL15" s="241">
        <f t="shared" si="5"/>
        <v>0</v>
      </c>
      <c r="CM15" s="241">
        <f t="shared" si="5"/>
        <v>0</v>
      </c>
      <c r="CN15" s="241">
        <f t="shared" si="5"/>
        <v>0</v>
      </c>
      <c r="CO15" s="241">
        <f t="shared" si="5"/>
        <v>0</v>
      </c>
      <c r="CP15" s="241">
        <f t="shared" si="5"/>
        <v>0</v>
      </c>
      <c r="CQ15" s="241">
        <f t="shared" si="5"/>
        <v>0</v>
      </c>
      <c r="CR15" s="241">
        <f t="shared" si="5"/>
        <v>0</v>
      </c>
      <c r="CS15" s="241">
        <f t="shared" si="5"/>
        <v>0</v>
      </c>
      <c r="CT15" s="241">
        <f t="shared" si="5"/>
        <v>0</v>
      </c>
      <c r="CU15" s="241">
        <f t="shared" si="5"/>
        <v>0</v>
      </c>
      <c r="CV15" s="241">
        <f t="shared" si="5"/>
        <v>0</v>
      </c>
      <c r="CW15" s="241">
        <f t="shared" si="5"/>
        <v>0</v>
      </c>
      <c r="CX15" s="241">
        <f t="shared" si="5"/>
        <v>0</v>
      </c>
      <c r="CY15" s="241">
        <f t="shared" si="5"/>
        <v>0</v>
      </c>
      <c r="CZ15" s="241">
        <f t="shared" si="5"/>
        <v>0</v>
      </c>
      <c r="DA15" s="241">
        <f t="shared" si="5"/>
        <v>0</v>
      </c>
      <c r="DB15" s="241">
        <f t="shared" si="5"/>
        <v>0</v>
      </c>
      <c r="DC15" s="241">
        <f t="shared" si="5"/>
        <v>0</v>
      </c>
    </row>
    <row r="16" spans="1:107" ht="15" customHeight="1" x14ac:dyDescent="0.25">
      <c r="B16" s="899">
        <v>10</v>
      </c>
      <c r="C16" s="225" t="s">
        <v>4214</v>
      </c>
      <c r="D16" s="225"/>
      <c r="E16" s="231" t="s">
        <v>4208</v>
      </c>
      <c r="F16" s="232" t="s">
        <v>4215</v>
      </c>
      <c r="G16" s="237" t="str">
        <f>IF(COUNTA(H16:DC16)=0,"",IF(OR(LARGE(H16:DC16,1)&gt;3,SMALL(H16:DC16,1)&lt;0),"ERRO",""))</f>
        <v/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</row>
    <row r="17" spans="2:107" ht="15" customHeight="1" x14ac:dyDescent="0.25">
      <c r="B17" s="900"/>
      <c r="C17" s="225" t="s">
        <v>4216</v>
      </c>
      <c r="D17" s="225"/>
      <c r="E17" s="226" t="s">
        <v>4217</v>
      </c>
      <c r="F17" s="232" t="s">
        <v>4218</v>
      </c>
      <c r="G17" s="237" t="str">
        <f>IF(COUNTA(H17:DC17)=0,"",IF(OR(LARGE(H17:DC17,1)&gt;22,SMALL(H17:DC17,1)&lt;0),"ERRO",""))</f>
        <v/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</row>
    <row r="18" spans="2:107" ht="15" customHeight="1" x14ac:dyDescent="0.25">
      <c r="B18" s="900"/>
      <c r="C18" s="225" t="s">
        <v>4219</v>
      </c>
      <c r="D18" s="225"/>
      <c r="E18" s="226" t="s">
        <v>4220</v>
      </c>
      <c r="F18" s="232" t="s">
        <v>4221</v>
      </c>
      <c r="G18" s="237" t="str">
        <f>IF(COUNTA(H18:DC18)=0,"",IF(OR(LARGE(H18:DC18,1)&gt;12,SMALL(H18:DC18,1)&lt;0),"ERRO",""))</f>
        <v/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</row>
    <row r="19" spans="2:107" ht="15" customHeight="1" x14ac:dyDescent="0.25">
      <c r="B19" s="900"/>
      <c r="C19" s="225" t="s">
        <v>4222</v>
      </c>
      <c r="D19" s="225"/>
      <c r="E19" s="231" t="s">
        <v>3857</v>
      </c>
      <c r="F19" s="232" t="s">
        <v>4223</v>
      </c>
      <c r="G19" s="233">
        <f>SUM(H19:DC19)</f>
        <v>0</v>
      </c>
      <c r="H19" s="236">
        <f>H12*((H16*H17*H18)/792)</f>
        <v>0</v>
      </c>
      <c r="I19" s="236">
        <f t="shared" ref="I19:BD19" si="6">I12*((I16*I17*I18)/792)</f>
        <v>0</v>
      </c>
      <c r="J19" s="236">
        <f t="shared" si="6"/>
        <v>0</v>
      </c>
      <c r="K19" s="236">
        <f t="shared" si="6"/>
        <v>0</v>
      </c>
      <c r="L19" s="236">
        <f t="shared" si="6"/>
        <v>0</v>
      </c>
      <c r="M19" s="236">
        <f t="shared" si="6"/>
        <v>0</v>
      </c>
      <c r="N19" s="236">
        <f t="shared" si="6"/>
        <v>0</v>
      </c>
      <c r="O19" s="236">
        <f t="shared" si="6"/>
        <v>0</v>
      </c>
      <c r="P19" s="236">
        <f t="shared" si="6"/>
        <v>0</v>
      </c>
      <c r="Q19" s="236">
        <f t="shared" si="6"/>
        <v>0</v>
      </c>
      <c r="R19" s="236">
        <f t="shared" si="6"/>
        <v>0</v>
      </c>
      <c r="S19" s="236">
        <f t="shared" si="6"/>
        <v>0</v>
      </c>
      <c r="T19" s="236">
        <f t="shared" si="6"/>
        <v>0</v>
      </c>
      <c r="U19" s="236">
        <f t="shared" si="6"/>
        <v>0</v>
      </c>
      <c r="V19" s="236">
        <f t="shared" si="6"/>
        <v>0</v>
      </c>
      <c r="W19" s="236">
        <f t="shared" si="6"/>
        <v>0</v>
      </c>
      <c r="X19" s="236">
        <f t="shared" si="6"/>
        <v>0</v>
      </c>
      <c r="Y19" s="236">
        <f t="shared" si="6"/>
        <v>0</v>
      </c>
      <c r="Z19" s="236">
        <f t="shared" si="6"/>
        <v>0</v>
      </c>
      <c r="AA19" s="236">
        <f t="shared" si="6"/>
        <v>0</v>
      </c>
      <c r="AB19" s="236">
        <f t="shared" si="6"/>
        <v>0</v>
      </c>
      <c r="AC19" s="236">
        <f t="shared" si="6"/>
        <v>0</v>
      </c>
      <c r="AD19" s="236">
        <f t="shared" si="6"/>
        <v>0</v>
      </c>
      <c r="AE19" s="236">
        <f t="shared" si="6"/>
        <v>0</v>
      </c>
      <c r="AF19" s="236">
        <f t="shared" si="6"/>
        <v>0</v>
      </c>
      <c r="AG19" s="236">
        <f t="shared" si="6"/>
        <v>0</v>
      </c>
      <c r="AH19" s="236">
        <f t="shared" si="6"/>
        <v>0</v>
      </c>
      <c r="AI19" s="236">
        <f t="shared" si="6"/>
        <v>0</v>
      </c>
      <c r="AJ19" s="236">
        <f t="shared" si="6"/>
        <v>0</v>
      </c>
      <c r="AK19" s="236">
        <f t="shared" si="6"/>
        <v>0</v>
      </c>
      <c r="AL19" s="236">
        <f t="shared" si="6"/>
        <v>0</v>
      </c>
      <c r="AM19" s="236">
        <f t="shared" si="6"/>
        <v>0</v>
      </c>
      <c r="AN19" s="236">
        <f t="shared" si="6"/>
        <v>0</v>
      </c>
      <c r="AO19" s="236">
        <f t="shared" si="6"/>
        <v>0</v>
      </c>
      <c r="AP19" s="236">
        <f t="shared" si="6"/>
        <v>0</v>
      </c>
      <c r="AQ19" s="236">
        <f t="shared" si="6"/>
        <v>0</v>
      </c>
      <c r="AR19" s="236">
        <f t="shared" si="6"/>
        <v>0</v>
      </c>
      <c r="AS19" s="236">
        <f t="shared" si="6"/>
        <v>0</v>
      </c>
      <c r="AT19" s="236">
        <f t="shared" si="6"/>
        <v>0</v>
      </c>
      <c r="AU19" s="236">
        <f t="shared" si="6"/>
        <v>0</v>
      </c>
      <c r="AV19" s="236">
        <f t="shared" si="6"/>
        <v>0</v>
      </c>
      <c r="AW19" s="236">
        <f t="shared" si="6"/>
        <v>0</v>
      </c>
      <c r="AX19" s="236">
        <f t="shared" si="6"/>
        <v>0</v>
      </c>
      <c r="AY19" s="236">
        <f t="shared" si="6"/>
        <v>0</v>
      </c>
      <c r="AZ19" s="236">
        <f t="shared" si="6"/>
        <v>0</v>
      </c>
      <c r="BA19" s="236">
        <f t="shared" si="6"/>
        <v>0</v>
      </c>
      <c r="BB19" s="236">
        <f t="shared" si="6"/>
        <v>0</v>
      </c>
      <c r="BC19" s="236">
        <f t="shared" si="6"/>
        <v>0</v>
      </c>
      <c r="BD19" s="236">
        <f t="shared" si="6"/>
        <v>0</v>
      </c>
      <c r="BE19" s="236">
        <f t="shared" ref="BE19:DC19" si="7">BE12*((BE16*BE17*BE18)/792)</f>
        <v>0</v>
      </c>
      <c r="BF19" s="236">
        <f t="shared" si="7"/>
        <v>0</v>
      </c>
      <c r="BG19" s="236">
        <f t="shared" si="7"/>
        <v>0</v>
      </c>
      <c r="BH19" s="236">
        <f t="shared" si="7"/>
        <v>0</v>
      </c>
      <c r="BI19" s="236">
        <f t="shared" si="7"/>
        <v>0</v>
      </c>
      <c r="BJ19" s="236">
        <f t="shared" si="7"/>
        <v>0</v>
      </c>
      <c r="BK19" s="236">
        <f t="shared" si="7"/>
        <v>0</v>
      </c>
      <c r="BL19" s="236">
        <f t="shared" si="7"/>
        <v>0</v>
      </c>
      <c r="BM19" s="236">
        <f t="shared" si="7"/>
        <v>0</v>
      </c>
      <c r="BN19" s="236">
        <f t="shared" si="7"/>
        <v>0</v>
      </c>
      <c r="BO19" s="236">
        <f t="shared" si="7"/>
        <v>0</v>
      </c>
      <c r="BP19" s="236">
        <f t="shared" si="7"/>
        <v>0</v>
      </c>
      <c r="BQ19" s="236">
        <f t="shared" si="7"/>
        <v>0</v>
      </c>
      <c r="BR19" s="236">
        <f t="shared" si="7"/>
        <v>0</v>
      </c>
      <c r="BS19" s="236">
        <f t="shared" si="7"/>
        <v>0</v>
      </c>
      <c r="BT19" s="236">
        <f t="shared" si="7"/>
        <v>0</v>
      </c>
      <c r="BU19" s="236">
        <f t="shared" si="7"/>
        <v>0</v>
      </c>
      <c r="BV19" s="236">
        <f t="shared" si="7"/>
        <v>0</v>
      </c>
      <c r="BW19" s="236">
        <f t="shared" si="7"/>
        <v>0</v>
      </c>
      <c r="BX19" s="236">
        <f t="shared" si="7"/>
        <v>0</v>
      </c>
      <c r="BY19" s="236">
        <f t="shared" si="7"/>
        <v>0</v>
      </c>
      <c r="BZ19" s="236">
        <f t="shared" si="7"/>
        <v>0</v>
      </c>
      <c r="CA19" s="236">
        <f t="shared" si="7"/>
        <v>0</v>
      </c>
      <c r="CB19" s="236">
        <f t="shared" si="7"/>
        <v>0</v>
      </c>
      <c r="CC19" s="236">
        <f t="shared" si="7"/>
        <v>0</v>
      </c>
      <c r="CD19" s="236">
        <f t="shared" si="7"/>
        <v>0</v>
      </c>
      <c r="CE19" s="236">
        <f t="shared" si="7"/>
        <v>0</v>
      </c>
      <c r="CF19" s="236">
        <f t="shared" si="7"/>
        <v>0</v>
      </c>
      <c r="CG19" s="236">
        <f t="shared" si="7"/>
        <v>0</v>
      </c>
      <c r="CH19" s="236">
        <f t="shared" si="7"/>
        <v>0</v>
      </c>
      <c r="CI19" s="236">
        <f t="shared" si="7"/>
        <v>0</v>
      </c>
      <c r="CJ19" s="236">
        <f t="shared" si="7"/>
        <v>0</v>
      </c>
      <c r="CK19" s="236">
        <f t="shared" si="7"/>
        <v>0</v>
      </c>
      <c r="CL19" s="236">
        <f t="shared" si="7"/>
        <v>0</v>
      </c>
      <c r="CM19" s="236">
        <f t="shared" si="7"/>
        <v>0</v>
      </c>
      <c r="CN19" s="236">
        <f t="shared" si="7"/>
        <v>0</v>
      </c>
      <c r="CO19" s="236">
        <f t="shared" si="7"/>
        <v>0</v>
      </c>
      <c r="CP19" s="236">
        <f t="shared" si="7"/>
        <v>0</v>
      </c>
      <c r="CQ19" s="236">
        <f t="shared" si="7"/>
        <v>0</v>
      </c>
      <c r="CR19" s="236">
        <f t="shared" si="7"/>
        <v>0</v>
      </c>
      <c r="CS19" s="236">
        <f t="shared" si="7"/>
        <v>0</v>
      </c>
      <c r="CT19" s="236">
        <f t="shared" si="7"/>
        <v>0</v>
      </c>
      <c r="CU19" s="236">
        <f t="shared" si="7"/>
        <v>0</v>
      </c>
      <c r="CV19" s="236">
        <f t="shared" si="7"/>
        <v>0</v>
      </c>
      <c r="CW19" s="236">
        <f t="shared" si="7"/>
        <v>0</v>
      </c>
      <c r="CX19" s="236">
        <f t="shared" si="7"/>
        <v>0</v>
      </c>
      <c r="CY19" s="236">
        <f t="shared" si="7"/>
        <v>0</v>
      </c>
      <c r="CZ19" s="236">
        <f t="shared" si="7"/>
        <v>0</v>
      </c>
      <c r="DA19" s="236">
        <f t="shared" si="7"/>
        <v>0</v>
      </c>
      <c r="DB19" s="236">
        <f t="shared" si="7"/>
        <v>0</v>
      </c>
      <c r="DC19" s="236">
        <f t="shared" si="7"/>
        <v>0</v>
      </c>
    </row>
    <row r="20" spans="2:107" ht="15" customHeight="1" x14ac:dyDescent="0.25">
      <c r="B20" s="901"/>
      <c r="C20" s="225" t="s">
        <v>4224</v>
      </c>
      <c r="D20" s="225"/>
      <c r="E20" s="225"/>
      <c r="F20" s="232" t="s">
        <v>4225</v>
      </c>
      <c r="G20" s="237" t="str">
        <f>IF(COUNTA(H20:DC20)=0,"",IF(OR(LARGE(H20:DC20,1)&gt;1,SMALL(H20:DC20,1)&lt;0),"ERRO",""))</f>
        <v/>
      </c>
      <c r="H20" s="242">
        <f>IF(H12=0,0,H19/H12)</f>
        <v>0</v>
      </c>
      <c r="I20" s="242">
        <f t="shared" ref="I20:BD20" si="8">IF(I12=0,0,I19/I12)</f>
        <v>0</v>
      </c>
      <c r="J20" s="242">
        <f t="shared" si="8"/>
        <v>0</v>
      </c>
      <c r="K20" s="242">
        <f t="shared" si="8"/>
        <v>0</v>
      </c>
      <c r="L20" s="242">
        <f t="shared" si="8"/>
        <v>0</v>
      </c>
      <c r="M20" s="242">
        <f t="shared" si="8"/>
        <v>0</v>
      </c>
      <c r="N20" s="242">
        <f t="shared" si="8"/>
        <v>0</v>
      </c>
      <c r="O20" s="242">
        <f t="shared" si="8"/>
        <v>0</v>
      </c>
      <c r="P20" s="242">
        <f t="shared" si="8"/>
        <v>0</v>
      </c>
      <c r="Q20" s="242">
        <f t="shared" si="8"/>
        <v>0</v>
      </c>
      <c r="R20" s="242">
        <f t="shared" si="8"/>
        <v>0</v>
      </c>
      <c r="S20" s="242">
        <f t="shared" si="8"/>
        <v>0</v>
      </c>
      <c r="T20" s="242">
        <f t="shared" si="8"/>
        <v>0</v>
      </c>
      <c r="U20" s="242">
        <f t="shared" si="8"/>
        <v>0</v>
      </c>
      <c r="V20" s="242">
        <f t="shared" si="8"/>
        <v>0</v>
      </c>
      <c r="W20" s="242">
        <f t="shared" si="8"/>
        <v>0</v>
      </c>
      <c r="X20" s="242">
        <f t="shared" si="8"/>
        <v>0</v>
      </c>
      <c r="Y20" s="242">
        <f t="shared" si="8"/>
        <v>0</v>
      </c>
      <c r="Z20" s="242">
        <f t="shared" si="8"/>
        <v>0</v>
      </c>
      <c r="AA20" s="242">
        <f t="shared" si="8"/>
        <v>0</v>
      </c>
      <c r="AB20" s="242">
        <f t="shared" si="8"/>
        <v>0</v>
      </c>
      <c r="AC20" s="242">
        <f t="shared" si="8"/>
        <v>0</v>
      </c>
      <c r="AD20" s="242">
        <f t="shared" si="8"/>
        <v>0</v>
      </c>
      <c r="AE20" s="242">
        <f t="shared" si="8"/>
        <v>0</v>
      </c>
      <c r="AF20" s="242">
        <f t="shared" si="8"/>
        <v>0</v>
      </c>
      <c r="AG20" s="242">
        <f t="shared" si="8"/>
        <v>0</v>
      </c>
      <c r="AH20" s="242">
        <f t="shared" si="8"/>
        <v>0</v>
      </c>
      <c r="AI20" s="242">
        <f t="shared" si="8"/>
        <v>0</v>
      </c>
      <c r="AJ20" s="242">
        <f t="shared" si="8"/>
        <v>0</v>
      </c>
      <c r="AK20" s="242">
        <f t="shared" si="8"/>
        <v>0</v>
      </c>
      <c r="AL20" s="242">
        <f t="shared" si="8"/>
        <v>0</v>
      </c>
      <c r="AM20" s="242">
        <f t="shared" si="8"/>
        <v>0</v>
      </c>
      <c r="AN20" s="242">
        <f t="shared" si="8"/>
        <v>0</v>
      </c>
      <c r="AO20" s="242">
        <f t="shared" si="8"/>
        <v>0</v>
      </c>
      <c r="AP20" s="242">
        <f t="shared" si="8"/>
        <v>0</v>
      </c>
      <c r="AQ20" s="242">
        <f t="shared" si="8"/>
        <v>0</v>
      </c>
      <c r="AR20" s="242">
        <f t="shared" si="8"/>
        <v>0</v>
      </c>
      <c r="AS20" s="242">
        <f t="shared" si="8"/>
        <v>0</v>
      </c>
      <c r="AT20" s="242">
        <f t="shared" si="8"/>
        <v>0</v>
      </c>
      <c r="AU20" s="242">
        <f t="shared" si="8"/>
        <v>0</v>
      </c>
      <c r="AV20" s="242">
        <f t="shared" si="8"/>
        <v>0</v>
      </c>
      <c r="AW20" s="242">
        <f t="shared" si="8"/>
        <v>0</v>
      </c>
      <c r="AX20" s="242">
        <f t="shared" si="8"/>
        <v>0</v>
      </c>
      <c r="AY20" s="242">
        <f t="shared" si="8"/>
        <v>0</v>
      </c>
      <c r="AZ20" s="242">
        <f t="shared" si="8"/>
        <v>0</v>
      </c>
      <c r="BA20" s="242">
        <f t="shared" si="8"/>
        <v>0</v>
      </c>
      <c r="BB20" s="242">
        <f t="shared" si="8"/>
        <v>0</v>
      </c>
      <c r="BC20" s="242">
        <f t="shared" si="8"/>
        <v>0</v>
      </c>
      <c r="BD20" s="242">
        <f t="shared" si="8"/>
        <v>0</v>
      </c>
      <c r="BE20" s="242">
        <f t="shared" ref="BE20:DC20" si="9">IF(BE12=0,0,BE19/BE12)</f>
        <v>0</v>
      </c>
      <c r="BF20" s="242">
        <f t="shared" si="9"/>
        <v>0</v>
      </c>
      <c r="BG20" s="242">
        <f t="shared" si="9"/>
        <v>0</v>
      </c>
      <c r="BH20" s="242">
        <f t="shared" si="9"/>
        <v>0</v>
      </c>
      <c r="BI20" s="242">
        <f t="shared" si="9"/>
        <v>0</v>
      </c>
      <c r="BJ20" s="242">
        <f t="shared" si="9"/>
        <v>0</v>
      </c>
      <c r="BK20" s="242">
        <f t="shared" si="9"/>
        <v>0</v>
      </c>
      <c r="BL20" s="242">
        <f t="shared" si="9"/>
        <v>0</v>
      </c>
      <c r="BM20" s="242">
        <f t="shared" si="9"/>
        <v>0</v>
      </c>
      <c r="BN20" s="242">
        <f t="shared" si="9"/>
        <v>0</v>
      </c>
      <c r="BO20" s="242">
        <f t="shared" si="9"/>
        <v>0</v>
      </c>
      <c r="BP20" s="242">
        <f t="shared" si="9"/>
        <v>0</v>
      </c>
      <c r="BQ20" s="242">
        <f t="shared" si="9"/>
        <v>0</v>
      </c>
      <c r="BR20" s="242">
        <f t="shared" si="9"/>
        <v>0</v>
      </c>
      <c r="BS20" s="242">
        <f t="shared" si="9"/>
        <v>0</v>
      </c>
      <c r="BT20" s="242">
        <f t="shared" si="9"/>
        <v>0</v>
      </c>
      <c r="BU20" s="242">
        <f t="shared" si="9"/>
        <v>0</v>
      </c>
      <c r="BV20" s="242">
        <f t="shared" si="9"/>
        <v>0</v>
      </c>
      <c r="BW20" s="242">
        <f t="shared" si="9"/>
        <v>0</v>
      </c>
      <c r="BX20" s="242">
        <f t="shared" si="9"/>
        <v>0</v>
      </c>
      <c r="BY20" s="242">
        <f t="shared" si="9"/>
        <v>0</v>
      </c>
      <c r="BZ20" s="242">
        <f t="shared" si="9"/>
        <v>0</v>
      </c>
      <c r="CA20" s="242">
        <f t="shared" si="9"/>
        <v>0</v>
      </c>
      <c r="CB20" s="242">
        <f t="shared" si="9"/>
        <v>0</v>
      </c>
      <c r="CC20" s="242">
        <f t="shared" si="9"/>
        <v>0</v>
      </c>
      <c r="CD20" s="242">
        <f t="shared" si="9"/>
        <v>0</v>
      </c>
      <c r="CE20" s="242">
        <f t="shared" si="9"/>
        <v>0</v>
      </c>
      <c r="CF20" s="242">
        <f t="shared" si="9"/>
        <v>0</v>
      </c>
      <c r="CG20" s="242">
        <f t="shared" si="9"/>
        <v>0</v>
      </c>
      <c r="CH20" s="242">
        <f t="shared" si="9"/>
        <v>0</v>
      </c>
      <c r="CI20" s="242">
        <f t="shared" si="9"/>
        <v>0</v>
      </c>
      <c r="CJ20" s="242">
        <f t="shared" si="9"/>
        <v>0</v>
      </c>
      <c r="CK20" s="242">
        <f t="shared" si="9"/>
        <v>0</v>
      </c>
      <c r="CL20" s="242">
        <f t="shared" si="9"/>
        <v>0</v>
      </c>
      <c r="CM20" s="242">
        <f t="shared" si="9"/>
        <v>0</v>
      </c>
      <c r="CN20" s="242">
        <f t="shared" si="9"/>
        <v>0</v>
      </c>
      <c r="CO20" s="242">
        <f t="shared" si="9"/>
        <v>0</v>
      </c>
      <c r="CP20" s="242">
        <f t="shared" si="9"/>
        <v>0</v>
      </c>
      <c r="CQ20" s="242">
        <f t="shared" si="9"/>
        <v>0</v>
      </c>
      <c r="CR20" s="242">
        <f t="shared" si="9"/>
        <v>0</v>
      </c>
      <c r="CS20" s="242">
        <f t="shared" si="9"/>
        <v>0</v>
      </c>
      <c r="CT20" s="242">
        <f t="shared" si="9"/>
        <v>0</v>
      </c>
      <c r="CU20" s="242">
        <f t="shared" si="9"/>
        <v>0</v>
      </c>
      <c r="CV20" s="242">
        <f t="shared" si="9"/>
        <v>0</v>
      </c>
      <c r="CW20" s="242">
        <f t="shared" si="9"/>
        <v>0</v>
      </c>
      <c r="CX20" s="242">
        <f t="shared" si="9"/>
        <v>0</v>
      </c>
      <c r="CY20" s="242">
        <f t="shared" si="9"/>
        <v>0</v>
      </c>
      <c r="CZ20" s="242">
        <f t="shared" si="9"/>
        <v>0</v>
      </c>
      <c r="DA20" s="242">
        <f t="shared" si="9"/>
        <v>0</v>
      </c>
      <c r="DB20" s="242">
        <f t="shared" si="9"/>
        <v>0</v>
      </c>
      <c r="DC20" s="242">
        <f t="shared" si="9"/>
        <v>0</v>
      </c>
    </row>
    <row r="21" spans="2:107" ht="15" customHeight="1" x14ac:dyDescent="0.25">
      <c r="B21" s="515">
        <v>11</v>
      </c>
      <c r="C21" s="225" t="s">
        <v>4226</v>
      </c>
      <c r="D21" s="225"/>
      <c r="E21" s="231" t="s">
        <v>3854</v>
      </c>
      <c r="F21" s="232" t="s">
        <v>4227</v>
      </c>
      <c r="G21" s="554">
        <f>SUM(H21:DC21)</f>
        <v>0</v>
      </c>
      <c r="H21" s="241">
        <f>H12*H15/1000</f>
        <v>0</v>
      </c>
      <c r="I21" s="241">
        <f t="shared" ref="I21:BD21" si="10">I12*I15/1000</f>
        <v>0</v>
      </c>
      <c r="J21" s="241">
        <f t="shared" si="10"/>
        <v>0</v>
      </c>
      <c r="K21" s="241">
        <f t="shared" si="10"/>
        <v>0</v>
      </c>
      <c r="L21" s="241">
        <f t="shared" si="10"/>
        <v>0</v>
      </c>
      <c r="M21" s="241">
        <f t="shared" si="10"/>
        <v>0</v>
      </c>
      <c r="N21" s="241">
        <f t="shared" si="10"/>
        <v>0</v>
      </c>
      <c r="O21" s="241">
        <f t="shared" si="10"/>
        <v>0</v>
      </c>
      <c r="P21" s="241">
        <f t="shared" si="10"/>
        <v>0</v>
      </c>
      <c r="Q21" s="241">
        <f t="shared" si="10"/>
        <v>0</v>
      </c>
      <c r="R21" s="241">
        <f t="shared" si="10"/>
        <v>0</v>
      </c>
      <c r="S21" s="241">
        <f t="shared" si="10"/>
        <v>0</v>
      </c>
      <c r="T21" s="241">
        <f t="shared" si="10"/>
        <v>0</v>
      </c>
      <c r="U21" s="241">
        <f t="shared" si="10"/>
        <v>0</v>
      </c>
      <c r="V21" s="241">
        <f t="shared" si="10"/>
        <v>0</v>
      </c>
      <c r="W21" s="241">
        <f t="shared" si="10"/>
        <v>0</v>
      </c>
      <c r="X21" s="241">
        <f t="shared" si="10"/>
        <v>0</v>
      </c>
      <c r="Y21" s="241">
        <f t="shared" si="10"/>
        <v>0</v>
      </c>
      <c r="Z21" s="241">
        <f t="shared" si="10"/>
        <v>0</v>
      </c>
      <c r="AA21" s="241">
        <f t="shared" si="10"/>
        <v>0</v>
      </c>
      <c r="AB21" s="241">
        <f t="shared" si="10"/>
        <v>0</v>
      </c>
      <c r="AC21" s="241">
        <f t="shared" si="10"/>
        <v>0</v>
      </c>
      <c r="AD21" s="241">
        <f t="shared" si="10"/>
        <v>0</v>
      </c>
      <c r="AE21" s="241">
        <f t="shared" si="10"/>
        <v>0</v>
      </c>
      <c r="AF21" s="241">
        <f t="shared" si="10"/>
        <v>0</v>
      </c>
      <c r="AG21" s="241">
        <f t="shared" si="10"/>
        <v>0</v>
      </c>
      <c r="AH21" s="241">
        <f t="shared" si="10"/>
        <v>0</v>
      </c>
      <c r="AI21" s="241">
        <f t="shared" si="10"/>
        <v>0</v>
      </c>
      <c r="AJ21" s="241">
        <f t="shared" si="10"/>
        <v>0</v>
      </c>
      <c r="AK21" s="241">
        <f t="shared" si="10"/>
        <v>0</v>
      </c>
      <c r="AL21" s="241">
        <f t="shared" si="10"/>
        <v>0</v>
      </c>
      <c r="AM21" s="241">
        <f t="shared" si="10"/>
        <v>0</v>
      </c>
      <c r="AN21" s="241">
        <f t="shared" si="10"/>
        <v>0</v>
      </c>
      <c r="AO21" s="241">
        <f t="shared" si="10"/>
        <v>0</v>
      </c>
      <c r="AP21" s="241">
        <f t="shared" si="10"/>
        <v>0</v>
      </c>
      <c r="AQ21" s="241">
        <f t="shared" si="10"/>
        <v>0</v>
      </c>
      <c r="AR21" s="241">
        <f t="shared" si="10"/>
        <v>0</v>
      </c>
      <c r="AS21" s="241">
        <f t="shared" si="10"/>
        <v>0</v>
      </c>
      <c r="AT21" s="241">
        <f t="shared" si="10"/>
        <v>0</v>
      </c>
      <c r="AU21" s="241">
        <f t="shared" si="10"/>
        <v>0</v>
      </c>
      <c r="AV21" s="241">
        <f t="shared" si="10"/>
        <v>0</v>
      </c>
      <c r="AW21" s="241">
        <f t="shared" si="10"/>
        <v>0</v>
      </c>
      <c r="AX21" s="241">
        <f t="shared" si="10"/>
        <v>0</v>
      </c>
      <c r="AY21" s="241">
        <f t="shared" si="10"/>
        <v>0</v>
      </c>
      <c r="AZ21" s="241">
        <f t="shared" si="10"/>
        <v>0</v>
      </c>
      <c r="BA21" s="241">
        <f t="shared" si="10"/>
        <v>0</v>
      </c>
      <c r="BB21" s="241">
        <f t="shared" si="10"/>
        <v>0</v>
      </c>
      <c r="BC21" s="241">
        <f t="shared" si="10"/>
        <v>0</v>
      </c>
      <c r="BD21" s="241">
        <f t="shared" si="10"/>
        <v>0</v>
      </c>
      <c r="BE21" s="241">
        <f t="shared" ref="BE21:DC21" si="11">BE12*BE15/1000</f>
        <v>0</v>
      </c>
      <c r="BF21" s="241">
        <f t="shared" si="11"/>
        <v>0</v>
      </c>
      <c r="BG21" s="241">
        <f t="shared" si="11"/>
        <v>0</v>
      </c>
      <c r="BH21" s="241">
        <f t="shared" si="11"/>
        <v>0</v>
      </c>
      <c r="BI21" s="241">
        <f t="shared" si="11"/>
        <v>0</v>
      </c>
      <c r="BJ21" s="241">
        <f t="shared" si="11"/>
        <v>0</v>
      </c>
      <c r="BK21" s="241">
        <f t="shared" si="11"/>
        <v>0</v>
      </c>
      <c r="BL21" s="241">
        <f t="shared" si="11"/>
        <v>0</v>
      </c>
      <c r="BM21" s="241">
        <f t="shared" si="11"/>
        <v>0</v>
      </c>
      <c r="BN21" s="241">
        <f t="shared" si="11"/>
        <v>0</v>
      </c>
      <c r="BO21" s="241">
        <f t="shared" si="11"/>
        <v>0</v>
      </c>
      <c r="BP21" s="241">
        <f t="shared" si="11"/>
        <v>0</v>
      </c>
      <c r="BQ21" s="241">
        <f t="shared" si="11"/>
        <v>0</v>
      </c>
      <c r="BR21" s="241">
        <f t="shared" si="11"/>
        <v>0</v>
      </c>
      <c r="BS21" s="241">
        <f t="shared" si="11"/>
        <v>0</v>
      </c>
      <c r="BT21" s="241">
        <f t="shared" si="11"/>
        <v>0</v>
      </c>
      <c r="BU21" s="241">
        <f t="shared" si="11"/>
        <v>0</v>
      </c>
      <c r="BV21" s="241">
        <f t="shared" si="11"/>
        <v>0</v>
      </c>
      <c r="BW21" s="241">
        <f t="shared" si="11"/>
        <v>0</v>
      </c>
      <c r="BX21" s="241">
        <f t="shared" si="11"/>
        <v>0</v>
      </c>
      <c r="BY21" s="241">
        <f t="shared" si="11"/>
        <v>0</v>
      </c>
      <c r="BZ21" s="241">
        <f t="shared" si="11"/>
        <v>0</v>
      </c>
      <c r="CA21" s="241">
        <f t="shared" si="11"/>
        <v>0</v>
      </c>
      <c r="CB21" s="241">
        <f t="shared" si="11"/>
        <v>0</v>
      </c>
      <c r="CC21" s="241">
        <f t="shared" si="11"/>
        <v>0</v>
      </c>
      <c r="CD21" s="241">
        <f t="shared" si="11"/>
        <v>0</v>
      </c>
      <c r="CE21" s="241">
        <f t="shared" si="11"/>
        <v>0</v>
      </c>
      <c r="CF21" s="241">
        <f t="shared" si="11"/>
        <v>0</v>
      </c>
      <c r="CG21" s="241">
        <f t="shared" si="11"/>
        <v>0</v>
      </c>
      <c r="CH21" s="241">
        <f t="shared" si="11"/>
        <v>0</v>
      </c>
      <c r="CI21" s="241">
        <f t="shared" si="11"/>
        <v>0</v>
      </c>
      <c r="CJ21" s="241">
        <f t="shared" si="11"/>
        <v>0</v>
      </c>
      <c r="CK21" s="241">
        <f t="shared" si="11"/>
        <v>0</v>
      </c>
      <c r="CL21" s="241">
        <f t="shared" si="11"/>
        <v>0</v>
      </c>
      <c r="CM21" s="241">
        <f t="shared" si="11"/>
        <v>0</v>
      </c>
      <c r="CN21" s="241">
        <f t="shared" si="11"/>
        <v>0</v>
      </c>
      <c r="CO21" s="241">
        <f t="shared" si="11"/>
        <v>0</v>
      </c>
      <c r="CP21" s="241">
        <f t="shared" si="11"/>
        <v>0</v>
      </c>
      <c r="CQ21" s="241">
        <f t="shared" si="11"/>
        <v>0</v>
      </c>
      <c r="CR21" s="241">
        <f t="shared" si="11"/>
        <v>0</v>
      </c>
      <c r="CS21" s="241">
        <f t="shared" si="11"/>
        <v>0</v>
      </c>
      <c r="CT21" s="241">
        <f t="shared" si="11"/>
        <v>0</v>
      </c>
      <c r="CU21" s="241">
        <f t="shared" si="11"/>
        <v>0</v>
      </c>
      <c r="CV21" s="241">
        <f t="shared" si="11"/>
        <v>0</v>
      </c>
      <c r="CW21" s="241">
        <f t="shared" si="11"/>
        <v>0</v>
      </c>
      <c r="CX21" s="241">
        <f t="shared" si="11"/>
        <v>0</v>
      </c>
      <c r="CY21" s="241">
        <f t="shared" si="11"/>
        <v>0</v>
      </c>
      <c r="CZ21" s="241">
        <f t="shared" si="11"/>
        <v>0</v>
      </c>
      <c r="DA21" s="241">
        <f t="shared" si="11"/>
        <v>0</v>
      </c>
      <c r="DB21" s="241">
        <f t="shared" si="11"/>
        <v>0</v>
      </c>
      <c r="DC21" s="241">
        <f t="shared" si="11"/>
        <v>0</v>
      </c>
    </row>
    <row r="22" spans="2:107" ht="15" customHeight="1" x14ac:dyDescent="0.25">
      <c r="B22" s="515">
        <v>12</v>
      </c>
      <c r="C22" s="225" t="s">
        <v>4228</v>
      </c>
      <c r="D22" s="225"/>
      <c r="E22" s="226" t="s">
        <v>3857</v>
      </c>
      <c r="F22" s="232" t="s">
        <v>4229</v>
      </c>
      <c r="G22" s="243">
        <f>SUM(H22:DC22)</f>
        <v>0</v>
      </c>
      <c r="H22" s="244">
        <f>H12*H20</f>
        <v>0</v>
      </c>
      <c r="I22" s="244">
        <f t="shared" ref="I22:BD22" si="12">I12*I20</f>
        <v>0</v>
      </c>
      <c r="J22" s="244">
        <f t="shared" si="12"/>
        <v>0</v>
      </c>
      <c r="K22" s="244">
        <f t="shared" si="12"/>
        <v>0</v>
      </c>
      <c r="L22" s="244">
        <f t="shared" si="12"/>
        <v>0</v>
      </c>
      <c r="M22" s="244">
        <f t="shared" si="12"/>
        <v>0</v>
      </c>
      <c r="N22" s="244">
        <f t="shared" si="12"/>
        <v>0</v>
      </c>
      <c r="O22" s="244">
        <f t="shared" si="12"/>
        <v>0</v>
      </c>
      <c r="P22" s="244">
        <f t="shared" si="12"/>
        <v>0</v>
      </c>
      <c r="Q22" s="244">
        <f t="shared" si="12"/>
        <v>0</v>
      </c>
      <c r="R22" s="244">
        <f t="shared" si="12"/>
        <v>0</v>
      </c>
      <c r="S22" s="244">
        <f t="shared" si="12"/>
        <v>0</v>
      </c>
      <c r="T22" s="244">
        <f t="shared" si="12"/>
        <v>0</v>
      </c>
      <c r="U22" s="244">
        <f t="shared" si="12"/>
        <v>0</v>
      </c>
      <c r="V22" s="244">
        <f t="shared" si="12"/>
        <v>0</v>
      </c>
      <c r="W22" s="244">
        <f t="shared" si="12"/>
        <v>0</v>
      </c>
      <c r="X22" s="244">
        <f t="shared" si="12"/>
        <v>0</v>
      </c>
      <c r="Y22" s="244">
        <f t="shared" si="12"/>
        <v>0</v>
      </c>
      <c r="Z22" s="244">
        <f t="shared" si="12"/>
        <v>0</v>
      </c>
      <c r="AA22" s="244">
        <f t="shared" si="12"/>
        <v>0</v>
      </c>
      <c r="AB22" s="244">
        <f t="shared" si="12"/>
        <v>0</v>
      </c>
      <c r="AC22" s="244">
        <f t="shared" si="12"/>
        <v>0</v>
      </c>
      <c r="AD22" s="244">
        <f t="shared" si="12"/>
        <v>0</v>
      </c>
      <c r="AE22" s="244">
        <f t="shared" si="12"/>
        <v>0</v>
      </c>
      <c r="AF22" s="244">
        <f t="shared" si="12"/>
        <v>0</v>
      </c>
      <c r="AG22" s="244">
        <f t="shared" si="12"/>
        <v>0</v>
      </c>
      <c r="AH22" s="244">
        <f t="shared" si="12"/>
        <v>0</v>
      </c>
      <c r="AI22" s="244">
        <f t="shared" si="12"/>
        <v>0</v>
      </c>
      <c r="AJ22" s="244">
        <f t="shared" si="12"/>
        <v>0</v>
      </c>
      <c r="AK22" s="244">
        <f t="shared" si="12"/>
        <v>0</v>
      </c>
      <c r="AL22" s="244">
        <f t="shared" si="12"/>
        <v>0</v>
      </c>
      <c r="AM22" s="244">
        <f t="shared" si="12"/>
        <v>0</v>
      </c>
      <c r="AN22" s="244">
        <f t="shared" si="12"/>
        <v>0</v>
      </c>
      <c r="AO22" s="244">
        <f t="shared" si="12"/>
        <v>0</v>
      </c>
      <c r="AP22" s="244">
        <f t="shared" si="12"/>
        <v>0</v>
      </c>
      <c r="AQ22" s="244">
        <f t="shared" si="12"/>
        <v>0</v>
      </c>
      <c r="AR22" s="244">
        <f t="shared" si="12"/>
        <v>0</v>
      </c>
      <c r="AS22" s="244">
        <f t="shared" si="12"/>
        <v>0</v>
      </c>
      <c r="AT22" s="244">
        <f t="shared" si="12"/>
        <v>0</v>
      </c>
      <c r="AU22" s="244">
        <f t="shared" si="12"/>
        <v>0</v>
      </c>
      <c r="AV22" s="244">
        <f t="shared" si="12"/>
        <v>0</v>
      </c>
      <c r="AW22" s="244">
        <f t="shared" si="12"/>
        <v>0</v>
      </c>
      <c r="AX22" s="244">
        <f t="shared" si="12"/>
        <v>0</v>
      </c>
      <c r="AY22" s="244">
        <f t="shared" si="12"/>
        <v>0</v>
      </c>
      <c r="AZ22" s="244">
        <f t="shared" si="12"/>
        <v>0</v>
      </c>
      <c r="BA22" s="244">
        <f t="shared" si="12"/>
        <v>0</v>
      </c>
      <c r="BB22" s="244">
        <f t="shared" si="12"/>
        <v>0</v>
      </c>
      <c r="BC22" s="244">
        <f t="shared" si="12"/>
        <v>0</v>
      </c>
      <c r="BD22" s="244">
        <f t="shared" si="12"/>
        <v>0</v>
      </c>
      <c r="BE22" s="244">
        <f t="shared" ref="BE22:DC22" si="13">BE12*BE20</f>
        <v>0</v>
      </c>
      <c r="BF22" s="244">
        <f t="shared" si="13"/>
        <v>0</v>
      </c>
      <c r="BG22" s="244">
        <f t="shared" si="13"/>
        <v>0</v>
      </c>
      <c r="BH22" s="244">
        <f t="shared" si="13"/>
        <v>0</v>
      </c>
      <c r="BI22" s="244">
        <f t="shared" si="13"/>
        <v>0</v>
      </c>
      <c r="BJ22" s="244">
        <f t="shared" si="13"/>
        <v>0</v>
      </c>
      <c r="BK22" s="244">
        <f t="shared" si="13"/>
        <v>0</v>
      </c>
      <c r="BL22" s="244">
        <f t="shared" si="13"/>
        <v>0</v>
      </c>
      <c r="BM22" s="244">
        <f t="shared" si="13"/>
        <v>0</v>
      </c>
      <c r="BN22" s="244">
        <f t="shared" si="13"/>
        <v>0</v>
      </c>
      <c r="BO22" s="244">
        <f t="shared" si="13"/>
        <v>0</v>
      </c>
      <c r="BP22" s="244">
        <f t="shared" si="13"/>
        <v>0</v>
      </c>
      <c r="BQ22" s="244">
        <f t="shared" si="13"/>
        <v>0</v>
      </c>
      <c r="BR22" s="244">
        <f t="shared" si="13"/>
        <v>0</v>
      </c>
      <c r="BS22" s="244">
        <f t="shared" si="13"/>
        <v>0</v>
      </c>
      <c r="BT22" s="244">
        <f t="shared" si="13"/>
        <v>0</v>
      </c>
      <c r="BU22" s="244">
        <f t="shared" si="13"/>
        <v>0</v>
      </c>
      <c r="BV22" s="244">
        <f t="shared" si="13"/>
        <v>0</v>
      </c>
      <c r="BW22" s="244">
        <f t="shared" si="13"/>
        <v>0</v>
      </c>
      <c r="BX22" s="244">
        <f t="shared" si="13"/>
        <v>0</v>
      </c>
      <c r="BY22" s="244">
        <f t="shared" si="13"/>
        <v>0</v>
      </c>
      <c r="BZ22" s="244">
        <f t="shared" si="13"/>
        <v>0</v>
      </c>
      <c r="CA22" s="244">
        <f t="shared" si="13"/>
        <v>0</v>
      </c>
      <c r="CB22" s="244">
        <f t="shared" si="13"/>
        <v>0</v>
      </c>
      <c r="CC22" s="244">
        <f t="shared" si="13"/>
        <v>0</v>
      </c>
      <c r="CD22" s="244">
        <f t="shared" si="13"/>
        <v>0</v>
      </c>
      <c r="CE22" s="244">
        <f t="shared" si="13"/>
        <v>0</v>
      </c>
      <c r="CF22" s="244">
        <f t="shared" si="13"/>
        <v>0</v>
      </c>
      <c r="CG22" s="244">
        <f t="shared" si="13"/>
        <v>0</v>
      </c>
      <c r="CH22" s="244">
        <f t="shared" si="13"/>
        <v>0</v>
      </c>
      <c r="CI22" s="244">
        <f t="shared" si="13"/>
        <v>0</v>
      </c>
      <c r="CJ22" s="244">
        <f t="shared" si="13"/>
        <v>0</v>
      </c>
      <c r="CK22" s="244">
        <f t="shared" si="13"/>
        <v>0</v>
      </c>
      <c r="CL22" s="244">
        <f t="shared" si="13"/>
        <v>0</v>
      </c>
      <c r="CM22" s="244">
        <f t="shared" si="13"/>
        <v>0</v>
      </c>
      <c r="CN22" s="244">
        <f t="shared" si="13"/>
        <v>0</v>
      </c>
      <c r="CO22" s="244">
        <f t="shared" si="13"/>
        <v>0</v>
      </c>
      <c r="CP22" s="244">
        <f t="shared" si="13"/>
        <v>0</v>
      </c>
      <c r="CQ22" s="244">
        <f t="shared" si="13"/>
        <v>0</v>
      </c>
      <c r="CR22" s="244">
        <f t="shared" si="13"/>
        <v>0</v>
      </c>
      <c r="CS22" s="244">
        <f t="shared" si="13"/>
        <v>0</v>
      </c>
      <c r="CT22" s="244">
        <f t="shared" si="13"/>
        <v>0</v>
      </c>
      <c r="CU22" s="244">
        <f t="shared" si="13"/>
        <v>0</v>
      </c>
      <c r="CV22" s="244">
        <f t="shared" si="13"/>
        <v>0</v>
      </c>
      <c r="CW22" s="244">
        <f t="shared" si="13"/>
        <v>0</v>
      </c>
      <c r="CX22" s="244">
        <f t="shared" si="13"/>
        <v>0</v>
      </c>
      <c r="CY22" s="244">
        <f t="shared" si="13"/>
        <v>0</v>
      </c>
      <c r="CZ22" s="244">
        <f t="shared" si="13"/>
        <v>0</v>
      </c>
      <c r="DA22" s="244">
        <f t="shared" si="13"/>
        <v>0</v>
      </c>
      <c r="DB22" s="244">
        <f t="shared" si="13"/>
        <v>0</v>
      </c>
      <c r="DC22" s="244">
        <f t="shared" si="13"/>
        <v>0</v>
      </c>
    </row>
    <row r="24" spans="2:107" ht="15" customHeight="1" x14ac:dyDescent="0.25">
      <c r="B24" s="649" t="s">
        <v>4460</v>
      </c>
      <c r="C24" s="650"/>
      <c r="D24" s="650"/>
      <c r="E24" s="650"/>
      <c r="F24" s="65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</row>
    <row r="25" spans="2:107" s="103" customFormat="1" ht="15" customHeight="1" x14ac:dyDescent="0.25">
      <c r="B25" s="515"/>
      <c r="C25" s="516"/>
      <c r="D25" s="516"/>
      <c r="E25" s="516"/>
      <c r="F25" s="245"/>
      <c r="G25" s="223" t="s">
        <v>76</v>
      </c>
      <c r="H25" s="224" t="s">
        <v>4352</v>
      </c>
      <c r="I25" s="224" t="s">
        <v>4353</v>
      </c>
      <c r="J25" s="224" t="s">
        <v>4354</v>
      </c>
      <c r="K25" s="224" t="s">
        <v>4355</v>
      </c>
      <c r="L25" s="224" t="s">
        <v>4356</v>
      </c>
      <c r="M25" s="224" t="s">
        <v>4357</v>
      </c>
      <c r="N25" s="224" t="s">
        <v>4358</v>
      </c>
      <c r="O25" s="224" t="s">
        <v>4359</v>
      </c>
      <c r="P25" s="224" t="s">
        <v>4360</v>
      </c>
      <c r="Q25" s="224" t="s">
        <v>4361</v>
      </c>
      <c r="R25" s="224" t="s">
        <v>4362</v>
      </c>
      <c r="S25" s="224" t="s">
        <v>4363</v>
      </c>
      <c r="T25" s="224" t="s">
        <v>4364</v>
      </c>
      <c r="U25" s="224" t="s">
        <v>4365</v>
      </c>
      <c r="V25" s="224" t="s">
        <v>4366</v>
      </c>
      <c r="W25" s="224" t="s">
        <v>4367</v>
      </c>
      <c r="X25" s="224" t="s">
        <v>4368</v>
      </c>
      <c r="Y25" s="224" t="s">
        <v>4369</v>
      </c>
      <c r="Z25" s="224" t="s">
        <v>4370</v>
      </c>
      <c r="AA25" s="224" t="s">
        <v>4371</v>
      </c>
      <c r="AB25" s="224" t="s">
        <v>4372</v>
      </c>
      <c r="AC25" s="224" t="s">
        <v>4373</v>
      </c>
      <c r="AD25" s="224" t="s">
        <v>4374</v>
      </c>
      <c r="AE25" s="224" t="s">
        <v>4375</v>
      </c>
      <c r="AF25" s="224" t="s">
        <v>4376</v>
      </c>
      <c r="AG25" s="224" t="s">
        <v>4377</v>
      </c>
      <c r="AH25" s="224" t="s">
        <v>4378</v>
      </c>
      <c r="AI25" s="224" t="s">
        <v>4379</v>
      </c>
      <c r="AJ25" s="224" t="s">
        <v>4380</v>
      </c>
      <c r="AK25" s="224" t="s">
        <v>4381</v>
      </c>
      <c r="AL25" s="224" t="s">
        <v>4382</v>
      </c>
      <c r="AM25" s="224" t="s">
        <v>4383</v>
      </c>
      <c r="AN25" s="224" t="s">
        <v>4384</v>
      </c>
      <c r="AO25" s="224" t="s">
        <v>4385</v>
      </c>
      <c r="AP25" s="224" t="s">
        <v>4386</v>
      </c>
      <c r="AQ25" s="224" t="s">
        <v>4387</v>
      </c>
      <c r="AR25" s="224" t="s">
        <v>4388</v>
      </c>
      <c r="AS25" s="224" t="s">
        <v>4389</v>
      </c>
      <c r="AT25" s="224" t="s">
        <v>4390</v>
      </c>
      <c r="AU25" s="224" t="s">
        <v>4391</v>
      </c>
      <c r="AV25" s="224" t="s">
        <v>4392</v>
      </c>
      <c r="AW25" s="224" t="s">
        <v>4393</v>
      </c>
      <c r="AX25" s="224" t="s">
        <v>4394</v>
      </c>
      <c r="AY25" s="224" t="s">
        <v>4395</v>
      </c>
      <c r="AZ25" s="224" t="s">
        <v>4396</v>
      </c>
      <c r="BA25" s="224" t="s">
        <v>4397</v>
      </c>
      <c r="BB25" s="224" t="s">
        <v>4398</v>
      </c>
      <c r="BC25" s="224" t="s">
        <v>4399</v>
      </c>
      <c r="BD25" s="224" t="s">
        <v>4400</v>
      </c>
      <c r="BE25" s="224" t="s">
        <v>4401</v>
      </c>
      <c r="BF25" s="224" t="s">
        <v>4402</v>
      </c>
      <c r="BG25" s="224" t="s">
        <v>4403</v>
      </c>
      <c r="BH25" s="224" t="s">
        <v>4404</v>
      </c>
      <c r="BI25" s="224" t="s">
        <v>4405</v>
      </c>
      <c r="BJ25" s="224" t="s">
        <v>4406</v>
      </c>
      <c r="BK25" s="224" t="s">
        <v>4407</v>
      </c>
      <c r="BL25" s="224" t="s">
        <v>4408</v>
      </c>
      <c r="BM25" s="224" t="s">
        <v>4409</v>
      </c>
      <c r="BN25" s="224" t="s">
        <v>4410</v>
      </c>
      <c r="BO25" s="224" t="s">
        <v>4411</v>
      </c>
      <c r="BP25" s="224" t="s">
        <v>4412</v>
      </c>
      <c r="BQ25" s="224" t="s">
        <v>4413</v>
      </c>
      <c r="BR25" s="224" t="s">
        <v>4414</v>
      </c>
      <c r="BS25" s="224" t="s">
        <v>4415</v>
      </c>
      <c r="BT25" s="224" t="s">
        <v>4416</v>
      </c>
      <c r="BU25" s="224" t="s">
        <v>4417</v>
      </c>
      <c r="BV25" s="224" t="s">
        <v>4418</v>
      </c>
      <c r="BW25" s="224" t="s">
        <v>4419</v>
      </c>
      <c r="BX25" s="224" t="s">
        <v>4420</v>
      </c>
      <c r="BY25" s="224" t="s">
        <v>4421</v>
      </c>
      <c r="BZ25" s="224" t="s">
        <v>4422</v>
      </c>
      <c r="CA25" s="224" t="s">
        <v>4423</v>
      </c>
      <c r="CB25" s="224" t="s">
        <v>4424</v>
      </c>
      <c r="CC25" s="224" t="s">
        <v>4425</v>
      </c>
      <c r="CD25" s="224" t="s">
        <v>4426</v>
      </c>
      <c r="CE25" s="224" t="s">
        <v>4427</v>
      </c>
      <c r="CF25" s="224" t="s">
        <v>4428</v>
      </c>
      <c r="CG25" s="224" t="s">
        <v>4429</v>
      </c>
      <c r="CH25" s="224" t="s">
        <v>4430</v>
      </c>
      <c r="CI25" s="224" t="s">
        <v>4431</v>
      </c>
      <c r="CJ25" s="224" t="s">
        <v>4432</v>
      </c>
      <c r="CK25" s="224" t="s">
        <v>4433</v>
      </c>
      <c r="CL25" s="224" t="s">
        <v>4434</v>
      </c>
      <c r="CM25" s="224" t="s">
        <v>4435</v>
      </c>
      <c r="CN25" s="224" t="s">
        <v>4436</v>
      </c>
      <c r="CO25" s="224" t="s">
        <v>4437</v>
      </c>
      <c r="CP25" s="224" t="s">
        <v>4438</v>
      </c>
      <c r="CQ25" s="224" t="s">
        <v>4439</v>
      </c>
      <c r="CR25" s="224" t="s">
        <v>4440</v>
      </c>
      <c r="CS25" s="224" t="s">
        <v>4441</v>
      </c>
      <c r="CT25" s="224" t="s">
        <v>4442</v>
      </c>
      <c r="CU25" s="224" t="s">
        <v>4443</v>
      </c>
      <c r="CV25" s="224" t="s">
        <v>4444</v>
      </c>
      <c r="CW25" s="224" t="s">
        <v>4445</v>
      </c>
      <c r="CX25" s="224" t="s">
        <v>4446</v>
      </c>
      <c r="CY25" s="224" t="s">
        <v>4447</v>
      </c>
      <c r="CZ25" s="224" t="s">
        <v>4448</v>
      </c>
      <c r="DA25" s="224" t="s">
        <v>4449</v>
      </c>
      <c r="DB25" s="224" t="s">
        <v>4450</v>
      </c>
      <c r="DC25" s="224" t="s">
        <v>4451</v>
      </c>
    </row>
    <row r="26" spans="2:107" s="103" customFormat="1" ht="15" customHeight="1" x14ac:dyDescent="0.25">
      <c r="B26" s="515">
        <v>13</v>
      </c>
      <c r="C26" s="307" t="s">
        <v>4195</v>
      </c>
      <c r="D26" s="516"/>
      <c r="E26" s="516"/>
      <c r="F26" s="222"/>
      <c r="G26" s="223"/>
      <c r="H26" s="224" t="str">
        <f>IF(H4="","",H4)</f>
        <v/>
      </c>
      <c r="I26" s="224" t="str">
        <f t="shared" ref="I26:BT26" si="14">IF(I4="","",I4)</f>
        <v/>
      </c>
      <c r="J26" s="224" t="str">
        <f t="shared" si="14"/>
        <v/>
      </c>
      <c r="K26" s="224" t="str">
        <f t="shared" si="14"/>
        <v/>
      </c>
      <c r="L26" s="224" t="str">
        <f t="shared" si="14"/>
        <v/>
      </c>
      <c r="M26" s="224" t="str">
        <f t="shared" si="14"/>
        <v/>
      </c>
      <c r="N26" s="224" t="str">
        <f t="shared" si="14"/>
        <v/>
      </c>
      <c r="O26" s="224" t="str">
        <f t="shared" si="14"/>
        <v/>
      </c>
      <c r="P26" s="224" t="str">
        <f t="shared" si="14"/>
        <v/>
      </c>
      <c r="Q26" s="224" t="str">
        <f t="shared" si="14"/>
        <v/>
      </c>
      <c r="R26" s="224" t="str">
        <f t="shared" si="14"/>
        <v/>
      </c>
      <c r="S26" s="224" t="str">
        <f t="shared" si="14"/>
        <v/>
      </c>
      <c r="T26" s="224" t="str">
        <f t="shared" si="14"/>
        <v/>
      </c>
      <c r="U26" s="224" t="str">
        <f t="shared" si="14"/>
        <v/>
      </c>
      <c r="V26" s="224" t="str">
        <f t="shared" si="14"/>
        <v/>
      </c>
      <c r="W26" s="224" t="str">
        <f t="shared" si="14"/>
        <v/>
      </c>
      <c r="X26" s="224" t="str">
        <f t="shared" si="14"/>
        <v/>
      </c>
      <c r="Y26" s="224" t="str">
        <f t="shared" si="14"/>
        <v/>
      </c>
      <c r="Z26" s="224" t="str">
        <f t="shared" si="14"/>
        <v/>
      </c>
      <c r="AA26" s="224" t="str">
        <f t="shared" si="14"/>
        <v/>
      </c>
      <c r="AB26" s="224" t="str">
        <f t="shared" si="14"/>
        <v/>
      </c>
      <c r="AC26" s="224" t="str">
        <f t="shared" si="14"/>
        <v/>
      </c>
      <c r="AD26" s="224" t="str">
        <f t="shared" si="14"/>
        <v/>
      </c>
      <c r="AE26" s="224" t="str">
        <f t="shared" si="14"/>
        <v/>
      </c>
      <c r="AF26" s="224" t="str">
        <f t="shared" si="14"/>
        <v/>
      </c>
      <c r="AG26" s="224" t="str">
        <f t="shared" si="14"/>
        <v/>
      </c>
      <c r="AH26" s="224" t="str">
        <f t="shared" si="14"/>
        <v/>
      </c>
      <c r="AI26" s="224" t="str">
        <f t="shared" si="14"/>
        <v/>
      </c>
      <c r="AJ26" s="224" t="str">
        <f t="shared" si="14"/>
        <v/>
      </c>
      <c r="AK26" s="224" t="str">
        <f t="shared" si="14"/>
        <v/>
      </c>
      <c r="AL26" s="224" t="str">
        <f t="shared" si="14"/>
        <v/>
      </c>
      <c r="AM26" s="224" t="str">
        <f t="shared" si="14"/>
        <v/>
      </c>
      <c r="AN26" s="224" t="str">
        <f t="shared" si="14"/>
        <v/>
      </c>
      <c r="AO26" s="224" t="str">
        <f t="shared" si="14"/>
        <v/>
      </c>
      <c r="AP26" s="224" t="str">
        <f t="shared" si="14"/>
        <v/>
      </c>
      <c r="AQ26" s="224" t="str">
        <f t="shared" si="14"/>
        <v/>
      </c>
      <c r="AR26" s="224" t="str">
        <f t="shared" si="14"/>
        <v/>
      </c>
      <c r="AS26" s="224" t="str">
        <f t="shared" si="14"/>
        <v/>
      </c>
      <c r="AT26" s="224" t="str">
        <f t="shared" si="14"/>
        <v/>
      </c>
      <c r="AU26" s="224" t="str">
        <f t="shared" si="14"/>
        <v/>
      </c>
      <c r="AV26" s="224" t="str">
        <f t="shared" si="14"/>
        <v/>
      </c>
      <c r="AW26" s="224" t="str">
        <f t="shared" si="14"/>
        <v/>
      </c>
      <c r="AX26" s="224" t="str">
        <f t="shared" si="14"/>
        <v/>
      </c>
      <c r="AY26" s="224" t="str">
        <f t="shared" si="14"/>
        <v/>
      </c>
      <c r="AZ26" s="224" t="str">
        <f t="shared" si="14"/>
        <v/>
      </c>
      <c r="BA26" s="224" t="str">
        <f t="shared" si="14"/>
        <v/>
      </c>
      <c r="BB26" s="224" t="str">
        <f t="shared" si="14"/>
        <v/>
      </c>
      <c r="BC26" s="224" t="str">
        <f t="shared" si="14"/>
        <v/>
      </c>
      <c r="BD26" s="224" t="str">
        <f t="shared" si="14"/>
        <v/>
      </c>
      <c r="BE26" s="224" t="str">
        <f t="shared" si="14"/>
        <v/>
      </c>
      <c r="BF26" s="224" t="str">
        <f t="shared" si="14"/>
        <v/>
      </c>
      <c r="BG26" s="224" t="str">
        <f t="shared" si="14"/>
        <v/>
      </c>
      <c r="BH26" s="224" t="str">
        <f t="shared" si="14"/>
        <v/>
      </c>
      <c r="BI26" s="224" t="str">
        <f t="shared" si="14"/>
        <v/>
      </c>
      <c r="BJ26" s="224" t="str">
        <f t="shared" si="14"/>
        <v/>
      </c>
      <c r="BK26" s="224" t="str">
        <f t="shared" si="14"/>
        <v/>
      </c>
      <c r="BL26" s="224" t="str">
        <f t="shared" si="14"/>
        <v/>
      </c>
      <c r="BM26" s="224" t="str">
        <f t="shared" si="14"/>
        <v/>
      </c>
      <c r="BN26" s="224" t="str">
        <f t="shared" si="14"/>
        <v/>
      </c>
      <c r="BO26" s="224" t="str">
        <f t="shared" si="14"/>
        <v/>
      </c>
      <c r="BP26" s="224" t="str">
        <f t="shared" si="14"/>
        <v/>
      </c>
      <c r="BQ26" s="224" t="str">
        <f t="shared" si="14"/>
        <v/>
      </c>
      <c r="BR26" s="224" t="str">
        <f t="shared" si="14"/>
        <v/>
      </c>
      <c r="BS26" s="224" t="str">
        <f t="shared" si="14"/>
        <v/>
      </c>
      <c r="BT26" s="224" t="str">
        <f t="shared" si="14"/>
        <v/>
      </c>
      <c r="BU26" s="224" t="str">
        <f t="shared" ref="BU26:DC26" si="15">IF(BU4="","",BU4)</f>
        <v/>
      </c>
      <c r="BV26" s="224" t="str">
        <f t="shared" si="15"/>
        <v/>
      </c>
      <c r="BW26" s="224" t="str">
        <f t="shared" si="15"/>
        <v/>
      </c>
      <c r="BX26" s="224" t="str">
        <f t="shared" si="15"/>
        <v/>
      </c>
      <c r="BY26" s="224" t="str">
        <f t="shared" si="15"/>
        <v/>
      </c>
      <c r="BZ26" s="224" t="str">
        <f t="shared" si="15"/>
        <v/>
      </c>
      <c r="CA26" s="224" t="str">
        <f t="shared" si="15"/>
        <v/>
      </c>
      <c r="CB26" s="224" t="str">
        <f t="shared" si="15"/>
        <v/>
      </c>
      <c r="CC26" s="224" t="str">
        <f t="shared" si="15"/>
        <v/>
      </c>
      <c r="CD26" s="224" t="str">
        <f t="shared" si="15"/>
        <v/>
      </c>
      <c r="CE26" s="224" t="str">
        <f t="shared" si="15"/>
        <v/>
      </c>
      <c r="CF26" s="224" t="str">
        <f t="shared" si="15"/>
        <v/>
      </c>
      <c r="CG26" s="224" t="str">
        <f t="shared" si="15"/>
        <v/>
      </c>
      <c r="CH26" s="224" t="str">
        <f t="shared" si="15"/>
        <v/>
      </c>
      <c r="CI26" s="224" t="str">
        <f t="shared" si="15"/>
        <v/>
      </c>
      <c r="CJ26" s="224" t="str">
        <f t="shared" si="15"/>
        <v/>
      </c>
      <c r="CK26" s="224" t="str">
        <f t="shared" si="15"/>
        <v/>
      </c>
      <c r="CL26" s="224" t="str">
        <f t="shared" si="15"/>
        <v/>
      </c>
      <c r="CM26" s="224" t="str">
        <f t="shared" si="15"/>
        <v/>
      </c>
      <c r="CN26" s="224" t="str">
        <f t="shared" si="15"/>
        <v/>
      </c>
      <c r="CO26" s="224" t="str">
        <f t="shared" si="15"/>
        <v/>
      </c>
      <c r="CP26" s="224" t="str">
        <f t="shared" si="15"/>
        <v/>
      </c>
      <c r="CQ26" s="224" t="str">
        <f t="shared" si="15"/>
        <v/>
      </c>
      <c r="CR26" s="224" t="str">
        <f t="shared" si="15"/>
        <v/>
      </c>
      <c r="CS26" s="224" t="str">
        <f t="shared" si="15"/>
        <v/>
      </c>
      <c r="CT26" s="224" t="str">
        <f t="shared" si="15"/>
        <v/>
      </c>
      <c r="CU26" s="224" t="str">
        <f t="shared" si="15"/>
        <v/>
      </c>
      <c r="CV26" s="224" t="str">
        <f t="shared" si="15"/>
        <v/>
      </c>
      <c r="CW26" s="224" t="str">
        <f t="shared" si="15"/>
        <v/>
      </c>
      <c r="CX26" s="224" t="str">
        <f t="shared" si="15"/>
        <v/>
      </c>
      <c r="CY26" s="224" t="str">
        <f t="shared" si="15"/>
        <v/>
      </c>
      <c r="CZ26" s="224" t="str">
        <f t="shared" si="15"/>
        <v/>
      </c>
      <c r="DA26" s="224" t="str">
        <f t="shared" si="15"/>
        <v/>
      </c>
      <c r="DB26" s="224" t="str">
        <f t="shared" si="15"/>
        <v/>
      </c>
      <c r="DC26" s="224" t="str">
        <f t="shared" si="15"/>
        <v/>
      </c>
    </row>
    <row r="27" spans="2:107" ht="15" customHeight="1" x14ac:dyDescent="0.25">
      <c r="B27" s="515">
        <v>14</v>
      </c>
      <c r="C27" s="225" t="s">
        <v>4452</v>
      </c>
      <c r="D27" s="225"/>
      <c r="E27" s="226" t="s">
        <v>4453</v>
      </c>
      <c r="F27" s="232" t="s">
        <v>4266</v>
      </c>
      <c r="G27" s="235">
        <f>SUM(H27:DC27)</f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</row>
    <row r="28" spans="2:107" ht="15" customHeight="1" x14ac:dyDescent="0.25">
      <c r="B28" s="515">
        <v>15</v>
      </c>
      <c r="C28" s="225" t="s">
        <v>4335</v>
      </c>
      <c r="D28" s="225"/>
      <c r="E28" s="231" t="s">
        <v>3912</v>
      </c>
      <c r="F28" s="292" t="s">
        <v>4461</v>
      </c>
      <c r="G28" s="23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</row>
    <row r="29" spans="2:107" ht="15" customHeight="1" x14ac:dyDescent="0.25">
      <c r="B29" s="899">
        <v>16</v>
      </c>
      <c r="C29" s="225" t="s">
        <v>4455</v>
      </c>
      <c r="D29" s="225"/>
      <c r="E29" s="231" t="s">
        <v>3912</v>
      </c>
      <c r="F29" s="292" t="s">
        <v>4462</v>
      </c>
      <c r="G29" s="23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</row>
    <row r="30" spans="2:107" ht="15" customHeight="1" x14ac:dyDescent="0.25">
      <c r="B30" s="901"/>
      <c r="C30" s="225" t="s">
        <v>4457</v>
      </c>
      <c r="D30" s="225"/>
      <c r="E30" s="231" t="s">
        <v>3912</v>
      </c>
      <c r="F30" s="292" t="s">
        <v>4463</v>
      </c>
      <c r="G30" s="2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</row>
    <row r="31" spans="2:107" ht="15" customHeight="1" x14ac:dyDescent="0.25">
      <c r="B31" s="515">
        <v>17</v>
      </c>
      <c r="C31" s="225" t="s">
        <v>3980</v>
      </c>
      <c r="D31" s="225"/>
      <c r="E31" s="231"/>
      <c r="F31" s="232" t="s">
        <v>4265</v>
      </c>
      <c r="G31" s="235">
        <f>SUM(H31:DC31)</f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</row>
    <row r="32" spans="2:107" ht="15" customHeight="1" x14ac:dyDescent="0.25">
      <c r="B32" s="515">
        <v>18</v>
      </c>
      <c r="C32" s="225" t="s">
        <v>4205</v>
      </c>
      <c r="D32" s="225"/>
      <c r="E32" s="231" t="s">
        <v>3857</v>
      </c>
      <c r="F32" s="232" t="s">
        <v>4233</v>
      </c>
      <c r="G32" s="554">
        <f>SUM(H32:DC32)</f>
        <v>0</v>
      </c>
      <c r="H32" s="241">
        <f>IF(H29=0,0,(H27*0.736*H31)/H29)</f>
        <v>0</v>
      </c>
      <c r="I32" s="241">
        <f t="shared" ref="I32:BD32" si="16">IF(I29=0,0,(I27*0.736*I31)/I29)</f>
        <v>0</v>
      </c>
      <c r="J32" s="241">
        <f t="shared" si="16"/>
        <v>0</v>
      </c>
      <c r="K32" s="241">
        <f t="shared" si="16"/>
        <v>0</v>
      </c>
      <c r="L32" s="241">
        <f t="shared" si="16"/>
        <v>0</v>
      </c>
      <c r="M32" s="241">
        <f t="shared" si="16"/>
        <v>0</v>
      </c>
      <c r="N32" s="241">
        <f t="shared" si="16"/>
        <v>0</v>
      </c>
      <c r="O32" s="241">
        <f t="shared" si="16"/>
        <v>0</v>
      </c>
      <c r="P32" s="241">
        <f t="shared" si="16"/>
        <v>0</v>
      </c>
      <c r="Q32" s="241">
        <f t="shared" si="16"/>
        <v>0</v>
      </c>
      <c r="R32" s="241">
        <f t="shared" si="16"/>
        <v>0</v>
      </c>
      <c r="S32" s="241">
        <f t="shared" si="16"/>
        <v>0</v>
      </c>
      <c r="T32" s="241">
        <f t="shared" si="16"/>
        <v>0</v>
      </c>
      <c r="U32" s="241">
        <f t="shared" si="16"/>
        <v>0</v>
      </c>
      <c r="V32" s="241">
        <f t="shared" si="16"/>
        <v>0</v>
      </c>
      <c r="W32" s="241">
        <f t="shared" si="16"/>
        <v>0</v>
      </c>
      <c r="X32" s="241">
        <f t="shared" si="16"/>
        <v>0</v>
      </c>
      <c r="Y32" s="241">
        <f t="shared" si="16"/>
        <v>0</v>
      </c>
      <c r="Z32" s="241">
        <f t="shared" si="16"/>
        <v>0</v>
      </c>
      <c r="AA32" s="241">
        <f t="shared" si="16"/>
        <v>0</v>
      </c>
      <c r="AB32" s="241">
        <f t="shared" si="16"/>
        <v>0</v>
      </c>
      <c r="AC32" s="241">
        <f t="shared" si="16"/>
        <v>0</v>
      </c>
      <c r="AD32" s="241">
        <f t="shared" si="16"/>
        <v>0</v>
      </c>
      <c r="AE32" s="241">
        <f t="shared" si="16"/>
        <v>0</v>
      </c>
      <c r="AF32" s="241">
        <f t="shared" si="16"/>
        <v>0</v>
      </c>
      <c r="AG32" s="241">
        <f t="shared" si="16"/>
        <v>0</v>
      </c>
      <c r="AH32" s="241">
        <f t="shared" si="16"/>
        <v>0</v>
      </c>
      <c r="AI32" s="241">
        <f t="shared" si="16"/>
        <v>0</v>
      </c>
      <c r="AJ32" s="241">
        <f t="shared" si="16"/>
        <v>0</v>
      </c>
      <c r="AK32" s="241">
        <f t="shared" si="16"/>
        <v>0</v>
      </c>
      <c r="AL32" s="241">
        <f t="shared" si="16"/>
        <v>0</v>
      </c>
      <c r="AM32" s="241">
        <f t="shared" si="16"/>
        <v>0</v>
      </c>
      <c r="AN32" s="241">
        <f t="shared" si="16"/>
        <v>0</v>
      </c>
      <c r="AO32" s="241">
        <f t="shared" si="16"/>
        <v>0</v>
      </c>
      <c r="AP32" s="241">
        <f t="shared" si="16"/>
        <v>0</v>
      </c>
      <c r="AQ32" s="241">
        <f t="shared" si="16"/>
        <v>0</v>
      </c>
      <c r="AR32" s="241">
        <f t="shared" si="16"/>
        <v>0</v>
      </c>
      <c r="AS32" s="241">
        <f t="shared" si="16"/>
        <v>0</v>
      </c>
      <c r="AT32" s="241">
        <f t="shared" si="16"/>
        <v>0</v>
      </c>
      <c r="AU32" s="241">
        <f t="shared" si="16"/>
        <v>0</v>
      </c>
      <c r="AV32" s="241">
        <f t="shared" si="16"/>
        <v>0</v>
      </c>
      <c r="AW32" s="241">
        <f t="shared" si="16"/>
        <v>0</v>
      </c>
      <c r="AX32" s="241">
        <f t="shared" si="16"/>
        <v>0</v>
      </c>
      <c r="AY32" s="241">
        <f t="shared" si="16"/>
        <v>0</v>
      </c>
      <c r="AZ32" s="241">
        <f t="shared" si="16"/>
        <v>0</v>
      </c>
      <c r="BA32" s="241">
        <f t="shared" si="16"/>
        <v>0</v>
      </c>
      <c r="BB32" s="241">
        <f t="shared" si="16"/>
        <v>0</v>
      </c>
      <c r="BC32" s="241">
        <f t="shared" si="16"/>
        <v>0</v>
      </c>
      <c r="BD32" s="241">
        <f t="shared" si="16"/>
        <v>0</v>
      </c>
      <c r="BE32" s="241">
        <f t="shared" ref="BE32:DC32" si="17">IF(BE29=0,0,(BE27*0.736*BE31)/BE29)</f>
        <v>0</v>
      </c>
      <c r="BF32" s="241">
        <f t="shared" si="17"/>
        <v>0</v>
      </c>
      <c r="BG32" s="241">
        <f t="shared" si="17"/>
        <v>0</v>
      </c>
      <c r="BH32" s="241">
        <f t="shared" si="17"/>
        <v>0</v>
      </c>
      <c r="BI32" s="241">
        <f t="shared" si="17"/>
        <v>0</v>
      </c>
      <c r="BJ32" s="241">
        <f t="shared" si="17"/>
        <v>0</v>
      </c>
      <c r="BK32" s="241">
        <f t="shared" si="17"/>
        <v>0</v>
      </c>
      <c r="BL32" s="241">
        <f t="shared" si="17"/>
        <v>0</v>
      </c>
      <c r="BM32" s="241">
        <f t="shared" si="17"/>
        <v>0</v>
      </c>
      <c r="BN32" s="241">
        <f t="shared" si="17"/>
        <v>0</v>
      </c>
      <c r="BO32" s="241">
        <f t="shared" si="17"/>
        <v>0</v>
      </c>
      <c r="BP32" s="241">
        <f t="shared" si="17"/>
        <v>0</v>
      </c>
      <c r="BQ32" s="241">
        <f t="shared" si="17"/>
        <v>0</v>
      </c>
      <c r="BR32" s="241">
        <f t="shared" si="17"/>
        <v>0</v>
      </c>
      <c r="BS32" s="241">
        <f t="shared" si="17"/>
        <v>0</v>
      </c>
      <c r="BT32" s="241">
        <f t="shared" si="17"/>
        <v>0</v>
      </c>
      <c r="BU32" s="241">
        <f t="shared" si="17"/>
        <v>0</v>
      </c>
      <c r="BV32" s="241">
        <f t="shared" si="17"/>
        <v>0</v>
      </c>
      <c r="BW32" s="241">
        <f t="shared" si="17"/>
        <v>0</v>
      </c>
      <c r="BX32" s="241">
        <f t="shared" si="17"/>
        <v>0</v>
      </c>
      <c r="BY32" s="241">
        <f t="shared" si="17"/>
        <v>0</v>
      </c>
      <c r="BZ32" s="241">
        <f t="shared" si="17"/>
        <v>0</v>
      </c>
      <c r="CA32" s="241">
        <f t="shared" si="17"/>
        <v>0</v>
      </c>
      <c r="CB32" s="241">
        <f t="shared" si="17"/>
        <v>0</v>
      </c>
      <c r="CC32" s="241">
        <f t="shared" si="17"/>
        <v>0</v>
      </c>
      <c r="CD32" s="241">
        <f t="shared" si="17"/>
        <v>0</v>
      </c>
      <c r="CE32" s="241">
        <f t="shared" si="17"/>
        <v>0</v>
      </c>
      <c r="CF32" s="241">
        <f t="shared" si="17"/>
        <v>0</v>
      </c>
      <c r="CG32" s="241">
        <f t="shared" si="17"/>
        <v>0</v>
      </c>
      <c r="CH32" s="241">
        <f t="shared" si="17"/>
        <v>0</v>
      </c>
      <c r="CI32" s="241">
        <f t="shared" si="17"/>
        <v>0</v>
      </c>
      <c r="CJ32" s="241">
        <f t="shared" si="17"/>
        <v>0</v>
      </c>
      <c r="CK32" s="241">
        <f t="shared" si="17"/>
        <v>0</v>
      </c>
      <c r="CL32" s="241">
        <f t="shared" si="17"/>
        <v>0</v>
      </c>
      <c r="CM32" s="241">
        <f t="shared" si="17"/>
        <v>0</v>
      </c>
      <c r="CN32" s="241">
        <f t="shared" si="17"/>
        <v>0</v>
      </c>
      <c r="CO32" s="241">
        <f t="shared" si="17"/>
        <v>0</v>
      </c>
      <c r="CP32" s="241">
        <f t="shared" si="17"/>
        <v>0</v>
      </c>
      <c r="CQ32" s="241">
        <f t="shared" si="17"/>
        <v>0</v>
      </c>
      <c r="CR32" s="241">
        <f t="shared" si="17"/>
        <v>0</v>
      </c>
      <c r="CS32" s="241">
        <f t="shared" si="17"/>
        <v>0</v>
      </c>
      <c r="CT32" s="241">
        <f t="shared" si="17"/>
        <v>0</v>
      </c>
      <c r="CU32" s="241">
        <f t="shared" si="17"/>
        <v>0</v>
      </c>
      <c r="CV32" s="241">
        <f t="shared" si="17"/>
        <v>0</v>
      </c>
      <c r="CW32" s="241">
        <f t="shared" si="17"/>
        <v>0</v>
      </c>
      <c r="CX32" s="241">
        <f t="shared" si="17"/>
        <v>0</v>
      </c>
      <c r="CY32" s="241">
        <f t="shared" si="17"/>
        <v>0</v>
      </c>
      <c r="CZ32" s="241">
        <f t="shared" si="17"/>
        <v>0</v>
      </c>
      <c r="DA32" s="241">
        <f t="shared" si="17"/>
        <v>0</v>
      </c>
      <c r="DB32" s="241">
        <f t="shared" si="17"/>
        <v>0</v>
      </c>
      <c r="DC32" s="241">
        <f t="shared" si="17"/>
        <v>0</v>
      </c>
    </row>
    <row r="33" spans="2:107" ht="15" customHeight="1" x14ac:dyDescent="0.25">
      <c r="B33" s="515">
        <v>19</v>
      </c>
      <c r="C33" s="225" t="s">
        <v>4459</v>
      </c>
      <c r="D33" s="225"/>
      <c r="E33" s="231" t="s">
        <v>3857</v>
      </c>
      <c r="F33" s="232" t="s">
        <v>4464</v>
      </c>
      <c r="G33" s="554">
        <f>SUM(H33:DC33)</f>
        <v>0</v>
      </c>
      <c r="H33" s="241">
        <f>IF(H30=0,0,H32*H28*(H29/H30))</f>
        <v>0</v>
      </c>
      <c r="I33" s="241">
        <f t="shared" ref="I33:BD33" si="18">IF(I30=0,0,I32*I28*(I29/I30))</f>
        <v>0</v>
      </c>
      <c r="J33" s="241">
        <f t="shared" si="18"/>
        <v>0</v>
      </c>
      <c r="K33" s="241">
        <f t="shared" si="18"/>
        <v>0</v>
      </c>
      <c r="L33" s="241">
        <f t="shared" si="18"/>
        <v>0</v>
      </c>
      <c r="M33" s="241">
        <f t="shared" si="18"/>
        <v>0</v>
      </c>
      <c r="N33" s="241">
        <f t="shared" si="18"/>
        <v>0</v>
      </c>
      <c r="O33" s="241">
        <f t="shared" si="18"/>
        <v>0</v>
      </c>
      <c r="P33" s="241">
        <f t="shared" si="18"/>
        <v>0</v>
      </c>
      <c r="Q33" s="241">
        <f t="shared" si="18"/>
        <v>0</v>
      </c>
      <c r="R33" s="241">
        <f t="shared" si="18"/>
        <v>0</v>
      </c>
      <c r="S33" s="241">
        <f t="shared" si="18"/>
        <v>0</v>
      </c>
      <c r="T33" s="241">
        <f t="shared" si="18"/>
        <v>0</v>
      </c>
      <c r="U33" s="241">
        <f t="shared" si="18"/>
        <v>0</v>
      </c>
      <c r="V33" s="241">
        <f t="shared" si="18"/>
        <v>0</v>
      </c>
      <c r="W33" s="241">
        <f t="shared" si="18"/>
        <v>0</v>
      </c>
      <c r="X33" s="241">
        <f t="shared" si="18"/>
        <v>0</v>
      </c>
      <c r="Y33" s="241">
        <f t="shared" si="18"/>
        <v>0</v>
      </c>
      <c r="Z33" s="241">
        <f t="shared" si="18"/>
        <v>0</v>
      </c>
      <c r="AA33" s="241">
        <f t="shared" si="18"/>
        <v>0</v>
      </c>
      <c r="AB33" s="241">
        <f t="shared" si="18"/>
        <v>0</v>
      </c>
      <c r="AC33" s="241">
        <f t="shared" si="18"/>
        <v>0</v>
      </c>
      <c r="AD33" s="241">
        <f t="shared" si="18"/>
        <v>0</v>
      </c>
      <c r="AE33" s="241">
        <f t="shared" si="18"/>
        <v>0</v>
      </c>
      <c r="AF33" s="241">
        <f t="shared" si="18"/>
        <v>0</v>
      </c>
      <c r="AG33" s="241">
        <f t="shared" si="18"/>
        <v>0</v>
      </c>
      <c r="AH33" s="241">
        <f t="shared" si="18"/>
        <v>0</v>
      </c>
      <c r="AI33" s="241">
        <f t="shared" si="18"/>
        <v>0</v>
      </c>
      <c r="AJ33" s="241">
        <f t="shared" si="18"/>
        <v>0</v>
      </c>
      <c r="AK33" s="241">
        <f t="shared" si="18"/>
        <v>0</v>
      </c>
      <c r="AL33" s="241">
        <f t="shared" si="18"/>
        <v>0</v>
      </c>
      <c r="AM33" s="241">
        <f t="shared" si="18"/>
        <v>0</v>
      </c>
      <c r="AN33" s="241">
        <f t="shared" si="18"/>
        <v>0</v>
      </c>
      <c r="AO33" s="241">
        <f t="shared" si="18"/>
        <v>0</v>
      </c>
      <c r="AP33" s="241">
        <f t="shared" si="18"/>
        <v>0</v>
      </c>
      <c r="AQ33" s="241">
        <f t="shared" si="18"/>
        <v>0</v>
      </c>
      <c r="AR33" s="241">
        <f t="shared" si="18"/>
        <v>0</v>
      </c>
      <c r="AS33" s="241">
        <f t="shared" si="18"/>
        <v>0</v>
      </c>
      <c r="AT33" s="241">
        <f t="shared" si="18"/>
        <v>0</v>
      </c>
      <c r="AU33" s="241">
        <f t="shared" si="18"/>
        <v>0</v>
      </c>
      <c r="AV33" s="241">
        <f t="shared" si="18"/>
        <v>0</v>
      </c>
      <c r="AW33" s="241">
        <f t="shared" si="18"/>
        <v>0</v>
      </c>
      <c r="AX33" s="241">
        <f t="shared" si="18"/>
        <v>0</v>
      </c>
      <c r="AY33" s="241">
        <f t="shared" si="18"/>
        <v>0</v>
      </c>
      <c r="AZ33" s="241">
        <f t="shared" si="18"/>
        <v>0</v>
      </c>
      <c r="BA33" s="241">
        <f t="shared" si="18"/>
        <v>0</v>
      </c>
      <c r="BB33" s="241">
        <f t="shared" si="18"/>
        <v>0</v>
      </c>
      <c r="BC33" s="241">
        <f t="shared" si="18"/>
        <v>0</v>
      </c>
      <c r="BD33" s="241">
        <f t="shared" si="18"/>
        <v>0</v>
      </c>
      <c r="BE33" s="241">
        <f t="shared" ref="BE33:DC33" si="19">IF(BE30=0,0,BE32*BE28*(BE29/BE30))</f>
        <v>0</v>
      </c>
      <c r="BF33" s="241">
        <f t="shared" si="19"/>
        <v>0</v>
      </c>
      <c r="BG33" s="241">
        <f t="shared" si="19"/>
        <v>0</v>
      </c>
      <c r="BH33" s="241">
        <f t="shared" si="19"/>
        <v>0</v>
      </c>
      <c r="BI33" s="241">
        <f t="shared" si="19"/>
        <v>0</v>
      </c>
      <c r="BJ33" s="241">
        <f t="shared" si="19"/>
        <v>0</v>
      </c>
      <c r="BK33" s="241">
        <f t="shared" si="19"/>
        <v>0</v>
      </c>
      <c r="BL33" s="241">
        <f t="shared" si="19"/>
        <v>0</v>
      </c>
      <c r="BM33" s="241">
        <f t="shared" si="19"/>
        <v>0</v>
      </c>
      <c r="BN33" s="241">
        <f t="shared" si="19"/>
        <v>0</v>
      </c>
      <c r="BO33" s="241">
        <f t="shared" si="19"/>
        <v>0</v>
      </c>
      <c r="BP33" s="241">
        <f t="shared" si="19"/>
        <v>0</v>
      </c>
      <c r="BQ33" s="241">
        <f t="shared" si="19"/>
        <v>0</v>
      </c>
      <c r="BR33" s="241">
        <f t="shared" si="19"/>
        <v>0</v>
      </c>
      <c r="BS33" s="241">
        <f t="shared" si="19"/>
        <v>0</v>
      </c>
      <c r="BT33" s="241">
        <f t="shared" si="19"/>
        <v>0</v>
      </c>
      <c r="BU33" s="241">
        <f t="shared" si="19"/>
        <v>0</v>
      </c>
      <c r="BV33" s="241">
        <f t="shared" si="19"/>
        <v>0</v>
      </c>
      <c r="BW33" s="241">
        <f t="shared" si="19"/>
        <v>0</v>
      </c>
      <c r="BX33" s="241">
        <f t="shared" si="19"/>
        <v>0</v>
      </c>
      <c r="BY33" s="241">
        <f t="shared" si="19"/>
        <v>0</v>
      </c>
      <c r="BZ33" s="241">
        <f t="shared" si="19"/>
        <v>0</v>
      </c>
      <c r="CA33" s="241">
        <f t="shared" si="19"/>
        <v>0</v>
      </c>
      <c r="CB33" s="241">
        <f t="shared" si="19"/>
        <v>0</v>
      </c>
      <c r="CC33" s="241">
        <f t="shared" si="19"/>
        <v>0</v>
      </c>
      <c r="CD33" s="241">
        <f t="shared" si="19"/>
        <v>0</v>
      </c>
      <c r="CE33" s="241">
        <f t="shared" si="19"/>
        <v>0</v>
      </c>
      <c r="CF33" s="241">
        <f t="shared" si="19"/>
        <v>0</v>
      </c>
      <c r="CG33" s="241">
        <f t="shared" si="19"/>
        <v>0</v>
      </c>
      <c r="CH33" s="241">
        <f t="shared" si="19"/>
        <v>0</v>
      </c>
      <c r="CI33" s="241">
        <f t="shared" si="19"/>
        <v>0</v>
      </c>
      <c r="CJ33" s="241">
        <f t="shared" si="19"/>
        <v>0</v>
      </c>
      <c r="CK33" s="241">
        <f t="shared" si="19"/>
        <v>0</v>
      </c>
      <c r="CL33" s="241">
        <f t="shared" si="19"/>
        <v>0</v>
      </c>
      <c r="CM33" s="241">
        <f t="shared" si="19"/>
        <v>0</v>
      </c>
      <c r="CN33" s="241">
        <f t="shared" si="19"/>
        <v>0</v>
      </c>
      <c r="CO33" s="241">
        <f t="shared" si="19"/>
        <v>0</v>
      </c>
      <c r="CP33" s="241">
        <f t="shared" si="19"/>
        <v>0</v>
      </c>
      <c r="CQ33" s="241">
        <f t="shared" si="19"/>
        <v>0</v>
      </c>
      <c r="CR33" s="241">
        <f t="shared" si="19"/>
        <v>0</v>
      </c>
      <c r="CS33" s="241">
        <f t="shared" si="19"/>
        <v>0</v>
      </c>
      <c r="CT33" s="241">
        <f t="shared" si="19"/>
        <v>0</v>
      </c>
      <c r="CU33" s="241">
        <f t="shared" si="19"/>
        <v>0</v>
      </c>
      <c r="CV33" s="241">
        <f t="shared" si="19"/>
        <v>0</v>
      </c>
      <c r="CW33" s="241">
        <f t="shared" si="19"/>
        <v>0</v>
      </c>
      <c r="CX33" s="241">
        <f t="shared" si="19"/>
        <v>0</v>
      </c>
      <c r="CY33" s="241">
        <f t="shared" si="19"/>
        <v>0</v>
      </c>
      <c r="CZ33" s="241">
        <f t="shared" si="19"/>
        <v>0</v>
      </c>
      <c r="DA33" s="241">
        <f t="shared" si="19"/>
        <v>0</v>
      </c>
      <c r="DB33" s="241">
        <f t="shared" si="19"/>
        <v>0</v>
      </c>
      <c r="DC33" s="241">
        <f t="shared" si="19"/>
        <v>0</v>
      </c>
    </row>
    <row r="34" spans="2:107" ht="15" customHeight="1" x14ac:dyDescent="0.25">
      <c r="B34" s="899">
        <v>20</v>
      </c>
      <c r="C34" s="225" t="s">
        <v>4207</v>
      </c>
      <c r="D34" s="225"/>
      <c r="E34" s="231" t="s">
        <v>4208</v>
      </c>
      <c r="F34" s="232"/>
      <c r="G34" s="237" t="str">
        <f>IF(COUNTA(H34:DC34)=0,"",IF(OR(LARGE(H34:DC34,1)&gt;24,SMALL(H34:DC34,1)&lt;0),"ERRO",""))</f>
        <v/>
      </c>
      <c r="H34" s="470">
        <f t="shared" ref="H34:AM34" si="20">H13</f>
        <v>0</v>
      </c>
      <c r="I34" s="470">
        <f t="shared" si="20"/>
        <v>0</v>
      </c>
      <c r="J34" s="470">
        <f t="shared" si="20"/>
        <v>0</v>
      </c>
      <c r="K34" s="470">
        <f t="shared" si="20"/>
        <v>0</v>
      </c>
      <c r="L34" s="470">
        <f t="shared" si="20"/>
        <v>0</v>
      </c>
      <c r="M34" s="470">
        <f t="shared" si="20"/>
        <v>0</v>
      </c>
      <c r="N34" s="470">
        <f t="shared" si="20"/>
        <v>0</v>
      </c>
      <c r="O34" s="470">
        <f t="shared" si="20"/>
        <v>0</v>
      </c>
      <c r="P34" s="470">
        <f t="shared" si="20"/>
        <v>0</v>
      </c>
      <c r="Q34" s="470">
        <f t="shared" si="20"/>
        <v>0</v>
      </c>
      <c r="R34" s="470">
        <f t="shared" si="20"/>
        <v>0</v>
      </c>
      <c r="S34" s="470">
        <f t="shared" si="20"/>
        <v>0</v>
      </c>
      <c r="T34" s="470">
        <f t="shared" si="20"/>
        <v>0</v>
      </c>
      <c r="U34" s="470">
        <f t="shared" si="20"/>
        <v>0</v>
      </c>
      <c r="V34" s="470">
        <f t="shared" si="20"/>
        <v>0</v>
      </c>
      <c r="W34" s="470">
        <f t="shared" si="20"/>
        <v>0</v>
      </c>
      <c r="X34" s="470">
        <f t="shared" si="20"/>
        <v>0</v>
      </c>
      <c r="Y34" s="470">
        <f t="shared" si="20"/>
        <v>0</v>
      </c>
      <c r="Z34" s="470">
        <f t="shared" si="20"/>
        <v>0</v>
      </c>
      <c r="AA34" s="470">
        <f t="shared" si="20"/>
        <v>0</v>
      </c>
      <c r="AB34" s="470">
        <f t="shared" si="20"/>
        <v>0</v>
      </c>
      <c r="AC34" s="470">
        <f t="shared" si="20"/>
        <v>0</v>
      </c>
      <c r="AD34" s="470">
        <f t="shared" si="20"/>
        <v>0</v>
      </c>
      <c r="AE34" s="470">
        <f t="shared" si="20"/>
        <v>0</v>
      </c>
      <c r="AF34" s="470">
        <f t="shared" si="20"/>
        <v>0</v>
      </c>
      <c r="AG34" s="470">
        <f t="shared" si="20"/>
        <v>0</v>
      </c>
      <c r="AH34" s="470">
        <f t="shared" si="20"/>
        <v>0</v>
      </c>
      <c r="AI34" s="470">
        <f t="shared" si="20"/>
        <v>0</v>
      </c>
      <c r="AJ34" s="470">
        <f t="shared" si="20"/>
        <v>0</v>
      </c>
      <c r="AK34" s="470">
        <f t="shared" si="20"/>
        <v>0</v>
      </c>
      <c r="AL34" s="470">
        <f t="shared" si="20"/>
        <v>0</v>
      </c>
      <c r="AM34" s="470">
        <f t="shared" si="20"/>
        <v>0</v>
      </c>
      <c r="AN34" s="470">
        <f t="shared" ref="AN34:BS34" si="21">AN13</f>
        <v>0</v>
      </c>
      <c r="AO34" s="470">
        <f t="shared" si="21"/>
        <v>0</v>
      </c>
      <c r="AP34" s="470">
        <f t="shared" si="21"/>
        <v>0</v>
      </c>
      <c r="AQ34" s="470">
        <f t="shared" si="21"/>
        <v>0</v>
      </c>
      <c r="AR34" s="470">
        <f t="shared" si="21"/>
        <v>0</v>
      </c>
      <c r="AS34" s="470">
        <f t="shared" si="21"/>
        <v>0</v>
      </c>
      <c r="AT34" s="470">
        <f t="shared" si="21"/>
        <v>0</v>
      </c>
      <c r="AU34" s="470">
        <f t="shared" si="21"/>
        <v>0</v>
      </c>
      <c r="AV34" s="470">
        <f t="shared" si="21"/>
        <v>0</v>
      </c>
      <c r="AW34" s="470">
        <f t="shared" si="21"/>
        <v>0</v>
      </c>
      <c r="AX34" s="470">
        <f t="shared" si="21"/>
        <v>0</v>
      </c>
      <c r="AY34" s="470">
        <f t="shared" si="21"/>
        <v>0</v>
      </c>
      <c r="AZ34" s="470">
        <f t="shared" si="21"/>
        <v>0</v>
      </c>
      <c r="BA34" s="470">
        <f t="shared" si="21"/>
        <v>0</v>
      </c>
      <c r="BB34" s="470">
        <f t="shared" si="21"/>
        <v>0</v>
      </c>
      <c r="BC34" s="470">
        <f t="shared" si="21"/>
        <v>0</v>
      </c>
      <c r="BD34" s="470">
        <f t="shared" si="21"/>
        <v>0</v>
      </c>
      <c r="BE34" s="470">
        <f t="shared" si="21"/>
        <v>0</v>
      </c>
      <c r="BF34" s="470">
        <f t="shared" si="21"/>
        <v>0</v>
      </c>
      <c r="BG34" s="470">
        <f t="shared" si="21"/>
        <v>0</v>
      </c>
      <c r="BH34" s="470">
        <f t="shared" si="21"/>
        <v>0</v>
      </c>
      <c r="BI34" s="470">
        <f t="shared" si="21"/>
        <v>0</v>
      </c>
      <c r="BJ34" s="470">
        <f t="shared" si="21"/>
        <v>0</v>
      </c>
      <c r="BK34" s="470">
        <f t="shared" si="21"/>
        <v>0</v>
      </c>
      <c r="BL34" s="470">
        <f t="shared" si="21"/>
        <v>0</v>
      </c>
      <c r="BM34" s="470">
        <f t="shared" si="21"/>
        <v>0</v>
      </c>
      <c r="BN34" s="470">
        <f t="shared" si="21"/>
        <v>0</v>
      </c>
      <c r="BO34" s="470">
        <f t="shared" si="21"/>
        <v>0</v>
      </c>
      <c r="BP34" s="470">
        <f t="shared" si="21"/>
        <v>0</v>
      </c>
      <c r="BQ34" s="470">
        <f t="shared" si="21"/>
        <v>0</v>
      </c>
      <c r="BR34" s="470">
        <f t="shared" si="21"/>
        <v>0</v>
      </c>
      <c r="BS34" s="470">
        <f t="shared" si="21"/>
        <v>0</v>
      </c>
      <c r="BT34" s="470">
        <f t="shared" ref="BT34:DC34" si="22">BT13</f>
        <v>0</v>
      </c>
      <c r="BU34" s="470">
        <f t="shared" si="22"/>
        <v>0</v>
      </c>
      <c r="BV34" s="470">
        <f t="shared" si="22"/>
        <v>0</v>
      </c>
      <c r="BW34" s="470">
        <f t="shared" si="22"/>
        <v>0</v>
      </c>
      <c r="BX34" s="470">
        <f t="shared" si="22"/>
        <v>0</v>
      </c>
      <c r="BY34" s="470">
        <f t="shared" si="22"/>
        <v>0</v>
      </c>
      <c r="BZ34" s="470">
        <f t="shared" si="22"/>
        <v>0</v>
      </c>
      <c r="CA34" s="470">
        <f t="shared" si="22"/>
        <v>0</v>
      </c>
      <c r="CB34" s="470">
        <f t="shared" si="22"/>
        <v>0</v>
      </c>
      <c r="CC34" s="470">
        <f t="shared" si="22"/>
        <v>0</v>
      </c>
      <c r="CD34" s="470">
        <f t="shared" si="22"/>
        <v>0</v>
      </c>
      <c r="CE34" s="470">
        <f t="shared" si="22"/>
        <v>0</v>
      </c>
      <c r="CF34" s="470">
        <f t="shared" si="22"/>
        <v>0</v>
      </c>
      <c r="CG34" s="470">
        <f t="shared" si="22"/>
        <v>0</v>
      </c>
      <c r="CH34" s="470">
        <f t="shared" si="22"/>
        <v>0</v>
      </c>
      <c r="CI34" s="470">
        <f t="shared" si="22"/>
        <v>0</v>
      </c>
      <c r="CJ34" s="470">
        <f t="shared" si="22"/>
        <v>0</v>
      </c>
      <c r="CK34" s="470">
        <f t="shared" si="22"/>
        <v>0</v>
      </c>
      <c r="CL34" s="470">
        <f t="shared" si="22"/>
        <v>0</v>
      </c>
      <c r="CM34" s="470">
        <f t="shared" si="22"/>
        <v>0</v>
      </c>
      <c r="CN34" s="470">
        <f t="shared" si="22"/>
        <v>0</v>
      </c>
      <c r="CO34" s="470">
        <f t="shared" si="22"/>
        <v>0</v>
      </c>
      <c r="CP34" s="470">
        <f t="shared" si="22"/>
        <v>0</v>
      </c>
      <c r="CQ34" s="470">
        <f t="shared" si="22"/>
        <v>0</v>
      </c>
      <c r="CR34" s="470">
        <f t="shared" si="22"/>
        <v>0</v>
      </c>
      <c r="CS34" s="470">
        <f t="shared" si="22"/>
        <v>0</v>
      </c>
      <c r="CT34" s="470">
        <f t="shared" si="22"/>
        <v>0</v>
      </c>
      <c r="CU34" s="470">
        <f t="shared" si="22"/>
        <v>0</v>
      </c>
      <c r="CV34" s="470">
        <f t="shared" si="22"/>
        <v>0</v>
      </c>
      <c r="CW34" s="470">
        <f t="shared" si="22"/>
        <v>0</v>
      </c>
      <c r="CX34" s="470">
        <f t="shared" si="22"/>
        <v>0</v>
      </c>
      <c r="CY34" s="470">
        <f t="shared" si="22"/>
        <v>0</v>
      </c>
      <c r="CZ34" s="470">
        <f t="shared" si="22"/>
        <v>0</v>
      </c>
      <c r="DA34" s="470">
        <f t="shared" si="22"/>
        <v>0</v>
      </c>
      <c r="DB34" s="470">
        <f t="shared" si="22"/>
        <v>0</v>
      </c>
      <c r="DC34" s="470">
        <f t="shared" si="22"/>
        <v>0</v>
      </c>
    </row>
    <row r="35" spans="2:107" ht="15" customHeight="1" x14ac:dyDescent="0.25">
      <c r="B35" s="900"/>
      <c r="C35" s="239" t="s">
        <v>4209</v>
      </c>
      <c r="D35" s="239"/>
      <c r="E35" s="558" t="s">
        <v>4210</v>
      </c>
      <c r="F35" s="232"/>
      <c r="G35" s="237" t="str">
        <f>IF(COUNTA(H35:DC35)=0,"",IF(OR(LARGE(H35:DC35,1)&gt;365,SMALL(H35:DC35,1)&lt;0),"ERRO",""))</f>
        <v/>
      </c>
      <c r="H35" s="470">
        <f t="shared" ref="H35:AM35" si="23">H14</f>
        <v>0</v>
      </c>
      <c r="I35" s="470">
        <f t="shared" si="23"/>
        <v>0</v>
      </c>
      <c r="J35" s="470">
        <f t="shared" si="23"/>
        <v>0</v>
      </c>
      <c r="K35" s="470">
        <f t="shared" si="23"/>
        <v>0</v>
      </c>
      <c r="L35" s="470">
        <f t="shared" si="23"/>
        <v>0</v>
      </c>
      <c r="M35" s="470">
        <f t="shared" si="23"/>
        <v>0</v>
      </c>
      <c r="N35" s="470">
        <f t="shared" si="23"/>
        <v>0</v>
      </c>
      <c r="O35" s="470">
        <f t="shared" si="23"/>
        <v>0</v>
      </c>
      <c r="P35" s="470">
        <f t="shared" si="23"/>
        <v>0</v>
      </c>
      <c r="Q35" s="470">
        <f t="shared" si="23"/>
        <v>0</v>
      </c>
      <c r="R35" s="470">
        <f t="shared" si="23"/>
        <v>0</v>
      </c>
      <c r="S35" s="470">
        <f t="shared" si="23"/>
        <v>0</v>
      </c>
      <c r="T35" s="470">
        <f t="shared" si="23"/>
        <v>0</v>
      </c>
      <c r="U35" s="470">
        <f t="shared" si="23"/>
        <v>0</v>
      </c>
      <c r="V35" s="470">
        <f t="shared" si="23"/>
        <v>0</v>
      </c>
      <c r="W35" s="470">
        <f t="shared" si="23"/>
        <v>0</v>
      </c>
      <c r="X35" s="470">
        <f t="shared" si="23"/>
        <v>0</v>
      </c>
      <c r="Y35" s="470">
        <f t="shared" si="23"/>
        <v>0</v>
      </c>
      <c r="Z35" s="470">
        <f t="shared" si="23"/>
        <v>0</v>
      </c>
      <c r="AA35" s="470">
        <f t="shared" si="23"/>
        <v>0</v>
      </c>
      <c r="AB35" s="470">
        <f t="shared" si="23"/>
        <v>0</v>
      </c>
      <c r="AC35" s="470">
        <f t="shared" si="23"/>
        <v>0</v>
      </c>
      <c r="AD35" s="470">
        <f t="shared" si="23"/>
        <v>0</v>
      </c>
      <c r="AE35" s="470">
        <f t="shared" si="23"/>
        <v>0</v>
      </c>
      <c r="AF35" s="470">
        <f t="shared" si="23"/>
        <v>0</v>
      </c>
      <c r="AG35" s="470">
        <f t="shared" si="23"/>
        <v>0</v>
      </c>
      <c r="AH35" s="470">
        <f t="shared" si="23"/>
        <v>0</v>
      </c>
      <c r="AI35" s="470">
        <f t="shared" si="23"/>
        <v>0</v>
      </c>
      <c r="AJ35" s="470">
        <f t="shared" si="23"/>
        <v>0</v>
      </c>
      <c r="AK35" s="470">
        <f t="shared" si="23"/>
        <v>0</v>
      </c>
      <c r="AL35" s="470">
        <f t="shared" si="23"/>
        <v>0</v>
      </c>
      <c r="AM35" s="470">
        <f t="shared" si="23"/>
        <v>0</v>
      </c>
      <c r="AN35" s="470">
        <f t="shared" ref="AN35:BS35" si="24">AN14</f>
        <v>0</v>
      </c>
      <c r="AO35" s="470">
        <f t="shared" si="24"/>
        <v>0</v>
      </c>
      <c r="AP35" s="470">
        <f t="shared" si="24"/>
        <v>0</v>
      </c>
      <c r="AQ35" s="470">
        <f t="shared" si="24"/>
        <v>0</v>
      </c>
      <c r="AR35" s="470">
        <f t="shared" si="24"/>
        <v>0</v>
      </c>
      <c r="AS35" s="470">
        <f t="shared" si="24"/>
        <v>0</v>
      </c>
      <c r="AT35" s="470">
        <f t="shared" si="24"/>
        <v>0</v>
      </c>
      <c r="AU35" s="470">
        <f t="shared" si="24"/>
        <v>0</v>
      </c>
      <c r="AV35" s="470">
        <f t="shared" si="24"/>
        <v>0</v>
      </c>
      <c r="AW35" s="470">
        <f t="shared" si="24"/>
        <v>0</v>
      </c>
      <c r="AX35" s="470">
        <f t="shared" si="24"/>
        <v>0</v>
      </c>
      <c r="AY35" s="470">
        <f t="shared" si="24"/>
        <v>0</v>
      </c>
      <c r="AZ35" s="470">
        <f t="shared" si="24"/>
        <v>0</v>
      </c>
      <c r="BA35" s="470">
        <f t="shared" si="24"/>
        <v>0</v>
      </c>
      <c r="BB35" s="470">
        <f t="shared" si="24"/>
        <v>0</v>
      </c>
      <c r="BC35" s="470">
        <f t="shared" si="24"/>
        <v>0</v>
      </c>
      <c r="BD35" s="470">
        <f t="shared" si="24"/>
        <v>0</v>
      </c>
      <c r="BE35" s="470">
        <f t="shared" si="24"/>
        <v>0</v>
      </c>
      <c r="BF35" s="470">
        <f t="shared" si="24"/>
        <v>0</v>
      </c>
      <c r="BG35" s="470">
        <f t="shared" si="24"/>
        <v>0</v>
      </c>
      <c r="BH35" s="470">
        <f t="shared" si="24"/>
        <v>0</v>
      </c>
      <c r="BI35" s="470">
        <f t="shared" si="24"/>
        <v>0</v>
      </c>
      <c r="BJ35" s="470">
        <f t="shared" si="24"/>
        <v>0</v>
      </c>
      <c r="BK35" s="470">
        <f t="shared" si="24"/>
        <v>0</v>
      </c>
      <c r="BL35" s="470">
        <f t="shared" si="24"/>
        <v>0</v>
      </c>
      <c r="BM35" s="470">
        <f t="shared" si="24"/>
        <v>0</v>
      </c>
      <c r="BN35" s="470">
        <f t="shared" si="24"/>
        <v>0</v>
      </c>
      <c r="BO35" s="470">
        <f t="shared" si="24"/>
        <v>0</v>
      </c>
      <c r="BP35" s="470">
        <f t="shared" si="24"/>
        <v>0</v>
      </c>
      <c r="BQ35" s="470">
        <f t="shared" si="24"/>
        <v>0</v>
      </c>
      <c r="BR35" s="470">
        <f t="shared" si="24"/>
        <v>0</v>
      </c>
      <c r="BS35" s="470">
        <f t="shared" si="24"/>
        <v>0</v>
      </c>
      <c r="BT35" s="470">
        <f t="shared" ref="BT35:DC35" si="25">BT14</f>
        <v>0</v>
      </c>
      <c r="BU35" s="470">
        <f t="shared" si="25"/>
        <v>0</v>
      </c>
      <c r="BV35" s="470">
        <f t="shared" si="25"/>
        <v>0</v>
      </c>
      <c r="BW35" s="470">
        <f t="shared" si="25"/>
        <v>0</v>
      </c>
      <c r="BX35" s="470">
        <f t="shared" si="25"/>
        <v>0</v>
      </c>
      <c r="BY35" s="470">
        <f t="shared" si="25"/>
        <v>0</v>
      </c>
      <c r="BZ35" s="470">
        <f t="shared" si="25"/>
        <v>0</v>
      </c>
      <c r="CA35" s="470">
        <f t="shared" si="25"/>
        <v>0</v>
      </c>
      <c r="CB35" s="470">
        <f t="shared" si="25"/>
        <v>0</v>
      </c>
      <c r="CC35" s="470">
        <f t="shared" si="25"/>
        <v>0</v>
      </c>
      <c r="CD35" s="470">
        <f t="shared" si="25"/>
        <v>0</v>
      </c>
      <c r="CE35" s="470">
        <f t="shared" si="25"/>
        <v>0</v>
      </c>
      <c r="CF35" s="470">
        <f t="shared" si="25"/>
        <v>0</v>
      </c>
      <c r="CG35" s="470">
        <f t="shared" si="25"/>
        <v>0</v>
      </c>
      <c r="CH35" s="470">
        <f t="shared" si="25"/>
        <v>0</v>
      </c>
      <c r="CI35" s="470">
        <f t="shared" si="25"/>
        <v>0</v>
      </c>
      <c r="CJ35" s="470">
        <f t="shared" si="25"/>
        <v>0</v>
      </c>
      <c r="CK35" s="470">
        <f t="shared" si="25"/>
        <v>0</v>
      </c>
      <c r="CL35" s="470">
        <f t="shared" si="25"/>
        <v>0</v>
      </c>
      <c r="CM35" s="470">
        <f t="shared" si="25"/>
        <v>0</v>
      </c>
      <c r="CN35" s="470">
        <f t="shared" si="25"/>
        <v>0</v>
      </c>
      <c r="CO35" s="470">
        <f t="shared" si="25"/>
        <v>0</v>
      </c>
      <c r="CP35" s="470">
        <f t="shared" si="25"/>
        <v>0</v>
      </c>
      <c r="CQ35" s="470">
        <f t="shared" si="25"/>
        <v>0</v>
      </c>
      <c r="CR35" s="470">
        <f t="shared" si="25"/>
        <v>0</v>
      </c>
      <c r="CS35" s="470">
        <f t="shared" si="25"/>
        <v>0</v>
      </c>
      <c r="CT35" s="470">
        <f t="shared" si="25"/>
        <v>0</v>
      </c>
      <c r="CU35" s="470">
        <f t="shared" si="25"/>
        <v>0</v>
      </c>
      <c r="CV35" s="470">
        <f t="shared" si="25"/>
        <v>0</v>
      </c>
      <c r="CW35" s="470">
        <f t="shared" si="25"/>
        <v>0</v>
      </c>
      <c r="CX35" s="470">
        <f t="shared" si="25"/>
        <v>0</v>
      </c>
      <c r="CY35" s="470">
        <f t="shared" si="25"/>
        <v>0</v>
      </c>
      <c r="CZ35" s="470">
        <f t="shared" si="25"/>
        <v>0</v>
      </c>
      <c r="DA35" s="470">
        <f t="shared" si="25"/>
        <v>0</v>
      </c>
      <c r="DB35" s="470">
        <f t="shared" si="25"/>
        <v>0</v>
      </c>
      <c r="DC35" s="470">
        <f t="shared" si="25"/>
        <v>0</v>
      </c>
    </row>
    <row r="36" spans="2:107" ht="15" customHeight="1" x14ac:dyDescent="0.25">
      <c r="B36" s="901"/>
      <c r="C36" s="225" t="s">
        <v>4211</v>
      </c>
      <c r="D36" s="225"/>
      <c r="E36" s="231" t="s">
        <v>4212</v>
      </c>
      <c r="F36" s="232" t="s">
        <v>4234</v>
      </c>
      <c r="G36" s="237" t="str">
        <f>IF(COUNTA(H36:DC36)=0,"",IF(OR(LARGE(H36:DC36,1)&gt;8760,SMALL(H36:DC36,1)&lt;0),"ERRO",""))</f>
        <v/>
      </c>
      <c r="H36" s="241">
        <f>H34*H35</f>
        <v>0</v>
      </c>
      <c r="I36" s="241">
        <f t="shared" ref="I36:BD36" si="26">I34*I35</f>
        <v>0</v>
      </c>
      <c r="J36" s="241">
        <f t="shared" si="26"/>
        <v>0</v>
      </c>
      <c r="K36" s="241">
        <f t="shared" si="26"/>
        <v>0</v>
      </c>
      <c r="L36" s="241">
        <f t="shared" si="26"/>
        <v>0</v>
      </c>
      <c r="M36" s="241">
        <f t="shared" si="26"/>
        <v>0</v>
      </c>
      <c r="N36" s="241">
        <f t="shared" si="26"/>
        <v>0</v>
      </c>
      <c r="O36" s="241">
        <f t="shared" si="26"/>
        <v>0</v>
      </c>
      <c r="P36" s="241">
        <f t="shared" si="26"/>
        <v>0</v>
      </c>
      <c r="Q36" s="241">
        <f t="shared" si="26"/>
        <v>0</v>
      </c>
      <c r="R36" s="241">
        <f t="shared" si="26"/>
        <v>0</v>
      </c>
      <c r="S36" s="241">
        <f t="shared" si="26"/>
        <v>0</v>
      </c>
      <c r="T36" s="241">
        <f t="shared" si="26"/>
        <v>0</v>
      </c>
      <c r="U36" s="241">
        <f t="shared" si="26"/>
        <v>0</v>
      </c>
      <c r="V36" s="241">
        <f t="shared" si="26"/>
        <v>0</v>
      </c>
      <c r="W36" s="241">
        <f t="shared" si="26"/>
        <v>0</v>
      </c>
      <c r="X36" s="241">
        <f t="shared" si="26"/>
        <v>0</v>
      </c>
      <c r="Y36" s="241">
        <f t="shared" si="26"/>
        <v>0</v>
      </c>
      <c r="Z36" s="241">
        <f t="shared" si="26"/>
        <v>0</v>
      </c>
      <c r="AA36" s="241">
        <f t="shared" si="26"/>
        <v>0</v>
      </c>
      <c r="AB36" s="241">
        <f t="shared" si="26"/>
        <v>0</v>
      </c>
      <c r="AC36" s="241">
        <f t="shared" si="26"/>
        <v>0</v>
      </c>
      <c r="AD36" s="241">
        <f t="shared" si="26"/>
        <v>0</v>
      </c>
      <c r="AE36" s="241">
        <f t="shared" si="26"/>
        <v>0</v>
      </c>
      <c r="AF36" s="241">
        <f t="shared" si="26"/>
        <v>0</v>
      </c>
      <c r="AG36" s="241">
        <f t="shared" si="26"/>
        <v>0</v>
      </c>
      <c r="AH36" s="241">
        <f t="shared" si="26"/>
        <v>0</v>
      </c>
      <c r="AI36" s="241">
        <f t="shared" si="26"/>
        <v>0</v>
      </c>
      <c r="AJ36" s="241">
        <f t="shared" si="26"/>
        <v>0</v>
      </c>
      <c r="AK36" s="241">
        <f t="shared" si="26"/>
        <v>0</v>
      </c>
      <c r="AL36" s="241">
        <f t="shared" si="26"/>
        <v>0</v>
      </c>
      <c r="AM36" s="241">
        <f t="shared" si="26"/>
        <v>0</v>
      </c>
      <c r="AN36" s="241">
        <f t="shared" si="26"/>
        <v>0</v>
      </c>
      <c r="AO36" s="241">
        <f t="shared" si="26"/>
        <v>0</v>
      </c>
      <c r="AP36" s="241">
        <f t="shared" si="26"/>
        <v>0</v>
      </c>
      <c r="AQ36" s="241">
        <f t="shared" si="26"/>
        <v>0</v>
      </c>
      <c r="AR36" s="241">
        <f t="shared" si="26"/>
        <v>0</v>
      </c>
      <c r="AS36" s="241">
        <f t="shared" si="26"/>
        <v>0</v>
      </c>
      <c r="AT36" s="241">
        <f t="shared" si="26"/>
        <v>0</v>
      </c>
      <c r="AU36" s="241">
        <f t="shared" si="26"/>
        <v>0</v>
      </c>
      <c r="AV36" s="241">
        <f t="shared" si="26"/>
        <v>0</v>
      </c>
      <c r="AW36" s="241">
        <f t="shared" si="26"/>
        <v>0</v>
      </c>
      <c r="AX36" s="241">
        <f t="shared" si="26"/>
        <v>0</v>
      </c>
      <c r="AY36" s="241">
        <f t="shared" si="26"/>
        <v>0</v>
      </c>
      <c r="AZ36" s="241">
        <f t="shared" si="26"/>
        <v>0</v>
      </c>
      <c r="BA36" s="241">
        <f t="shared" si="26"/>
        <v>0</v>
      </c>
      <c r="BB36" s="241">
        <f t="shared" si="26"/>
        <v>0</v>
      </c>
      <c r="BC36" s="241">
        <f t="shared" si="26"/>
        <v>0</v>
      </c>
      <c r="BD36" s="241">
        <f t="shared" si="26"/>
        <v>0</v>
      </c>
      <c r="BE36" s="241">
        <f t="shared" ref="BE36:DC36" si="27">BE34*BE35</f>
        <v>0</v>
      </c>
      <c r="BF36" s="241">
        <f t="shared" si="27"/>
        <v>0</v>
      </c>
      <c r="BG36" s="241">
        <f t="shared" si="27"/>
        <v>0</v>
      </c>
      <c r="BH36" s="241">
        <f t="shared" si="27"/>
        <v>0</v>
      </c>
      <c r="BI36" s="241">
        <f t="shared" si="27"/>
        <v>0</v>
      </c>
      <c r="BJ36" s="241">
        <f t="shared" si="27"/>
        <v>0</v>
      </c>
      <c r="BK36" s="241">
        <f t="shared" si="27"/>
        <v>0</v>
      </c>
      <c r="BL36" s="241">
        <f t="shared" si="27"/>
        <v>0</v>
      </c>
      <c r="BM36" s="241">
        <f t="shared" si="27"/>
        <v>0</v>
      </c>
      <c r="BN36" s="241">
        <f t="shared" si="27"/>
        <v>0</v>
      </c>
      <c r="BO36" s="241">
        <f t="shared" si="27"/>
        <v>0</v>
      </c>
      <c r="BP36" s="241">
        <f t="shared" si="27"/>
        <v>0</v>
      </c>
      <c r="BQ36" s="241">
        <f t="shared" si="27"/>
        <v>0</v>
      </c>
      <c r="BR36" s="241">
        <f t="shared" si="27"/>
        <v>0</v>
      </c>
      <c r="BS36" s="241">
        <f t="shared" si="27"/>
        <v>0</v>
      </c>
      <c r="BT36" s="241">
        <f t="shared" si="27"/>
        <v>0</v>
      </c>
      <c r="BU36" s="241">
        <f t="shared" si="27"/>
        <v>0</v>
      </c>
      <c r="BV36" s="241">
        <f t="shared" si="27"/>
        <v>0</v>
      </c>
      <c r="BW36" s="241">
        <f t="shared" si="27"/>
        <v>0</v>
      </c>
      <c r="BX36" s="241">
        <f t="shared" si="27"/>
        <v>0</v>
      </c>
      <c r="BY36" s="241">
        <f t="shared" si="27"/>
        <v>0</v>
      </c>
      <c r="BZ36" s="241">
        <f t="shared" si="27"/>
        <v>0</v>
      </c>
      <c r="CA36" s="241">
        <f t="shared" si="27"/>
        <v>0</v>
      </c>
      <c r="CB36" s="241">
        <f t="shared" si="27"/>
        <v>0</v>
      </c>
      <c r="CC36" s="241">
        <f t="shared" si="27"/>
        <v>0</v>
      </c>
      <c r="CD36" s="241">
        <f t="shared" si="27"/>
        <v>0</v>
      </c>
      <c r="CE36" s="241">
        <f t="shared" si="27"/>
        <v>0</v>
      </c>
      <c r="CF36" s="241">
        <f t="shared" si="27"/>
        <v>0</v>
      </c>
      <c r="CG36" s="241">
        <f t="shared" si="27"/>
        <v>0</v>
      </c>
      <c r="CH36" s="241">
        <f t="shared" si="27"/>
        <v>0</v>
      </c>
      <c r="CI36" s="241">
        <f t="shared" si="27"/>
        <v>0</v>
      </c>
      <c r="CJ36" s="241">
        <f t="shared" si="27"/>
        <v>0</v>
      </c>
      <c r="CK36" s="241">
        <f t="shared" si="27"/>
        <v>0</v>
      </c>
      <c r="CL36" s="241">
        <f t="shared" si="27"/>
        <v>0</v>
      </c>
      <c r="CM36" s="241">
        <f t="shared" si="27"/>
        <v>0</v>
      </c>
      <c r="CN36" s="241">
        <f t="shared" si="27"/>
        <v>0</v>
      </c>
      <c r="CO36" s="241">
        <f t="shared" si="27"/>
        <v>0</v>
      </c>
      <c r="CP36" s="241">
        <f t="shared" si="27"/>
        <v>0</v>
      </c>
      <c r="CQ36" s="241">
        <f t="shared" si="27"/>
        <v>0</v>
      </c>
      <c r="CR36" s="241">
        <f t="shared" si="27"/>
        <v>0</v>
      </c>
      <c r="CS36" s="241">
        <f t="shared" si="27"/>
        <v>0</v>
      </c>
      <c r="CT36" s="241">
        <f t="shared" si="27"/>
        <v>0</v>
      </c>
      <c r="CU36" s="241">
        <f t="shared" si="27"/>
        <v>0</v>
      </c>
      <c r="CV36" s="241">
        <f t="shared" si="27"/>
        <v>0</v>
      </c>
      <c r="CW36" s="241">
        <f t="shared" si="27"/>
        <v>0</v>
      </c>
      <c r="CX36" s="241">
        <f t="shared" si="27"/>
        <v>0</v>
      </c>
      <c r="CY36" s="241">
        <f t="shared" si="27"/>
        <v>0</v>
      </c>
      <c r="CZ36" s="241">
        <f t="shared" si="27"/>
        <v>0</v>
      </c>
      <c r="DA36" s="241">
        <f t="shared" si="27"/>
        <v>0</v>
      </c>
      <c r="DB36" s="241">
        <f t="shared" si="27"/>
        <v>0</v>
      </c>
      <c r="DC36" s="241">
        <f t="shared" si="27"/>
        <v>0</v>
      </c>
    </row>
    <row r="37" spans="2:107" ht="15" customHeight="1" x14ac:dyDescent="0.25">
      <c r="B37" s="899">
        <v>21</v>
      </c>
      <c r="C37" s="225" t="s">
        <v>4214</v>
      </c>
      <c r="D37" s="225"/>
      <c r="E37" s="231" t="s">
        <v>4208</v>
      </c>
      <c r="F37" s="232" t="s">
        <v>4235</v>
      </c>
      <c r="G37" s="237" t="str">
        <f>IF(COUNTA(H37:DC37)=0,"",IF(OR(LARGE(H37:DC37,1)&gt;3,SMALL(H37:DC37,1)&lt;0),"ERRO",""))</f>
        <v/>
      </c>
      <c r="H37" s="471">
        <f t="shared" ref="H37:AM37" si="28">H16</f>
        <v>0</v>
      </c>
      <c r="I37" s="471">
        <f t="shared" si="28"/>
        <v>0</v>
      </c>
      <c r="J37" s="471">
        <f t="shared" si="28"/>
        <v>0</v>
      </c>
      <c r="K37" s="471">
        <f t="shared" si="28"/>
        <v>0</v>
      </c>
      <c r="L37" s="471">
        <f t="shared" si="28"/>
        <v>0</v>
      </c>
      <c r="M37" s="471">
        <f t="shared" si="28"/>
        <v>0</v>
      </c>
      <c r="N37" s="471">
        <f t="shared" si="28"/>
        <v>0</v>
      </c>
      <c r="O37" s="471">
        <f t="shared" si="28"/>
        <v>0</v>
      </c>
      <c r="P37" s="471">
        <f t="shared" si="28"/>
        <v>0</v>
      </c>
      <c r="Q37" s="471">
        <f t="shared" si="28"/>
        <v>0</v>
      </c>
      <c r="R37" s="471">
        <f t="shared" si="28"/>
        <v>0</v>
      </c>
      <c r="S37" s="471">
        <f t="shared" si="28"/>
        <v>0</v>
      </c>
      <c r="T37" s="471">
        <f t="shared" si="28"/>
        <v>0</v>
      </c>
      <c r="U37" s="471">
        <f t="shared" si="28"/>
        <v>0</v>
      </c>
      <c r="V37" s="471">
        <f t="shared" si="28"/>
        <v>0</v>
      </c>
      <c r="W37" s="471">
        <f t="shared" si="28"/>
        <v>0</v>
      </c>
      <c r="X37" s="471">
        <f t="shared" si="28"/>
        <v>0</v>
      </c>
      <c r="Y37" s="471">
        <f t="shared" si="28"/>
        <v>0</v>
      </c>
      <c r="Z37" s="471">
        <f t="shared" si="28"/>
        <v>0</v>
      </c>
      <c r="AA37" s="471">
        <f t="shared" si="28"/>
        <v>0</v>
      </c>
      <c r="AB37" s="471">
        <f t="shared" si="28"/>
        <v>0</v>
      </c>
      <c r="AC37" s="471">
        <f t="shared" si="28"/>
        <v>0</v>
      </c>
      <c r="AD37" s="471">
        <f t="shared" si="28"/>
        <v>0</v>
      </c>
      <c r="AE37" s="471">
        <f t="shared" si="28"/>
        <v>0</v>
      </c>
      <c r="AF37" s="471">
        <f t="shared" si="28"/>
        <v>0</v>
      </c>
      <c r="AG37" s="471">
        <f t="shared" si="28"/>
        <v>0</v>
      </c>
      <c r="AH37" s="471">
        <f t="shared" si="28"/>
        <v>0</v>
      </c>
      <c r="AI37" s="471">
        <f t="shared" si="28"/>
        <v>0</v>
      </c>
      <c r="AJ37" s="471">
        <f t="shared" si="28"/>
        <v>0</v>
      </c>
      <c r="AK37" s="471">
        <f t="shared" si="28"/>
        <v>0</v>
      </c>
      <c r="AL37" s="471">
        <f t="shared" si="28"/>
        <v>0</v>
      </c>
      <c r="AM37" s="471">
        <f t="shared" si="28"/>
        <v>0</v>
      </c>
      <c r="AN37" s="471">
        <f t="shared" ref="AN37:BS37" si="29">AN16</f>
        <v>0</v>
      </c>
      <c r="AO37" s="471">
        <f t="shared" si="29"/>
        <v>0</v>
      </c>
      <c r="AP37" s="471">
        <f t="shared" si="29"/>
        <v>0</v>
      </c>
      <c r="AQ37" s="471">
        <f t="shared" si="29"/>
        <v>0</v>
      </c>
      <c r="AR37" s="471">
        <f t="shared" si="29"/>
        <v>0</v>
      </c>
      <c r="AS37" s="471">
        <f t="shared" si="29"/>
        <v>0</v>
      </c>
      <c r="AT37" s="471">
        <f t="shared" si="29"/>
        <v>0</v>
      </c>
      <c r="AU37" s="471">
        <f t="shared" si="29"/>
        <v>0</v>
      </c>
      <c r="AV37" s="471">
        <f t="shared" si="29"/>
        <v>0</v>
      </c>
      <c r="AW37" s="471">
        <f t="shared" si="29"/>
        <v>0</v>
      </c>
      <c r="AX37" s="471">
        <f t="shared" si="29"/>
        <v>0</v>
      </c>
      <c r="AY37" s="471">
        <f t="shared" si="29"/>
        <v>0</v>
      </c>
      <c r="AZ37" s="471">
        <f t="shared" si="29"/>
        <v>0</v>
      </c>
      <c r="BA37" s="471">
        <f t="shared" si="29"/>
        <v>0</v>
      </c>
      <c r="BB37" s="471">
        <f t="shared" si="29"/>
        <v>0</v>
      </c>
      <c r="BC37" s="471">
        <f t="shared" si="29"/>
        <v>0</v>
      </c>
      <c r="BD37" s="471">
        <f t="shared" si="29"/>
        <v>0</v>
      </c>
      <c r="BE37" s="471">
        <f t="shared" si="29"/>
        <v>0</v>
      </c>
      <c r="BF37" s="471">
        <f t="shared" si="29"/>
        <v>0</v>
      </c>
      <c r="BG37" s="471">
        <f t="shared" si="29"/>
        <v>0</v>
      </c>
      <c r="BH37" s="471">
        <f t="shared" si="29"/>
        <v>0</v>
      </c>
      <c r="BI37" s="471">
        <f t="shared" si="29"/>
        <v>0</v>
      </c>
      <c r="BJ37" s="471">
        <f t="shared" si="29"/>
        <v>0</v>
      </c>
      <c r="BK37" s="471">
        <f t="shared" si="29"/>
        <v>0</v>
      </c>
      <c r="BL37" s="471">
        <f t="shared" si="29"/>
        <v>0</v>
      </c>
      <c r="BM37" s="471">
        <f t="shared" si="29"/>
        <v>0</v>
      </c>
      <c r="BN37" s="471">
        <f t="shared" si="29"/>
        <v>0</v>
      </c>
      <c r="BO37" s="471">
        <f t="shared" si="29"/>
        <v>0</v>
      </c>
      <c r="BP37" s="471">
        <f t="shared" si="29"/>
        <v>0</v>
      </c>
      <c r="BQ37" s="471">
        <f t="shared" si="29"/>
        <v>0</v>
      </c>
      <c r="BR37" s="471">
        <f t="shared" si="29"/>
        <v>0</v>
      </c>
      <c r="BS37" s="471">
        <f t="shared" si="29"/>
        <v>0</v>
      </c>
      <c r="BT37" s="471">
        <f t="shared" ref="BT37:DC37" si="30">BT16</f>
        <v>0</v>
      </c>
      <c r="BU37" s="471">
        <f t="shared" si="30"/>
        <v>0</v>
      </c>
      <c r="BV37" s="471">
        <f t="shared" si="30"/>
        <v>0</v>
      </c>
      <c r="BW37" s="471">
        <f t="shared" si="30"/>
        <v>0</v>
      </c>
      <c r="BX37" s="471">
        <f t="shared" si="30"/>
        <v>0</v>
      </c>
      <c r="BY37" s="471">
        <f t="shared" si="30"/>
        <v>0</v>
      </c>
      <c r="BZ37" s="471">
        <f t="shared" si="30"/>
        <v>0</v>
      </c>
      <c r="CA37" s="471">
        <f t="shared" si="30"/>
        <v>0</v>
      </c>
      <c r="CB37" s="471">
        <f t="shared" si="30"/>
        <v>0</v>
      </c>
      <c r="CC37" s="471">
        <f t="shared" si="30"/>
        <v>0</v>
      </c>
      <c r="CD37" s="471">
        <f t="shared" si="30"/>
        <v>0</v>
      </c>
      <c r="CE37" s="471">
        <f t="shared" si="30"/>
        <v>0</v>
      </c>
      <c r="CF37" s="471">
        <f t="shared" si="30"/>
        <v>0</v>
      </c>
      <c r="CG37" s="471">
        <f t="shared" si="30"/>
        <v>0</v>
      </c>
      <c r="CH37" s="471">
        <f t="shared" si="30"/>
        <v>0</v>
      </c>
      <c r="CI37" s="471">
        <f t="shared" si="30"/>
        <v>0</v>
      </c>
      <c r="CJ37" s="471">
        <f t="shared" si="30"/>
        <v>0</v>
      </c>
      <c r="CK37" s="471">
        <f t="shared" si="30"/>
        <v>0</v>
      </c>
      <c r="CL37" s="471">
        <f t="shared" si="30"/>
        <v>0</v>
      </c>
      <c r="CM37" s="471">
        <f t="shared" si="30"/>
        <v>0</v>
      </c>
      <c r="CN37" s="471">
        <f t="shared" si="30"/>
        <v>0</v>
      </c>
      <c r="CO37" s="471">
        <f t="shared" si="30"/>
        <v>0</v>
      </c>
      <c r="CP37" s="471">
        <f t="shared" si="30"/>
        <v>0</v>
      </c>
      <c r="CQ37" s="471">
        <f t="shared" si="30"/>
        <v>0</v>
      </c>
      <c r="CR37" s="471">
        <f t="shared" si="30"/>
        <v>0</v>
      </c>
      <c r="CS37" s="471">
        <f t="shared" si="30"/>
        <v>0</v>
      </c>
      <c r="CT37" s="471">
        <f t="shared" si="30"/>
        <v>0</v>
      </c>
      <c r="CU37" s="471">
        <f t="shared" si="30"/>
        <v>0</v>
      </c>
      <c r="CV37" s="471">
        <f t="shared" si="30"/>
        <v>0</v>
      </c>
      <c r="CW37" s="471">
        <f t="shared" si="30"/>
        <v>0</v>
      </c>
      <c r="CX37" s="471">
        <f t="shared" si="30"/>
        <v>0</v>
      </c>
      <c r="CY37" s="471">
        <f t="shared" si="30"/>
        <v>0</v>
      </c>
      <c r="CZ37" s="471">
        <f t="shared" si="30"/>
        <v>0</v>
      </c>
      <c r="DA37" s="471">
        <f t="shared" si="30"/>
        <v>0</v>
      </c>
      <c r="DB37" s="471">
        <f t="shared" si="30"/>
        <v>0</v>
      </c>
      <c r="DC37" s="471">
        <f t="shared" si="30"/>
        <v>0</v>
      </c>
    </row>
    <row r="38" spans="2:107" ht="15" customHeight="1" x14ac:dyDescent="0.25">
      <c r="B38" s="900"/>
      <c r="C38" s="225" t="s">
        <v>4216</v>
      </c>
      <c r="D38" s="225"/>
      <c r="E38" s="226" t="s">
        <v>4217</v>
      </c>
      <c r="F38" s="232" t="s">
        <v>4236</v>
      </c>
      <c r="G38" s="237" t="str">
        <f>IF(COUNTA(H38:DC38)=0,"",IF(OR(LARGE(H38:DC38,1)&gt;22,SMALL(H38:DC38,1)&lt;0),"ERRO",""))</f>
        <v/>
      </c>
      <c r="H38" s="471">
        <f t="shared" ref="H38:AM38" si="31">H17</f>
        <v>0</v>
      </c>
      <c r="I38" s="471">
        <f t="shared" si="31"/>
        <v>0</v>
      </c>
      <c r="J38" s="471">
        <f t="shared" si="31"/>
        <v>0</v>
      </c>
      <c r="K38" s="471">
        <f t="shared" si="31"/>
        <v>0</v>
      </c>
      <c r="L38" s="471">
        <f t="shared" si="31"/>
        <v>0</v>
      </c>
      <c r="M38" s="471">
        <f t="shared" si="31"/>
        <v>0</v>
      </c>
      <c r="N38" s="471">
        <f t="shared" si="31"/>
        <v>0</v>
      </c>
      <c r="O38" s="471">
        <f t="shared" si="31"/>
        <v>0</v>
      </c>
      <c r="P38" s="471">
        <f t="shared" si="31"/>
        <v>0</v>
      </c>
      <c r="Q38" s="471">
        <f t="shared" si="31"/>
        <v>0</v>
      </c>
      <c r="R38" s="471">
        <f t="shared" si="31"/>
        <v>0</v>
      </c>
      <c r="S38" s="471">
        <f t="shared" si="31"/>
        <v>0</v>
      </c>
      <c r="T38" s="471">
        <f t="shared" si="31"/>
        <v>0</v>
      </c>
      <c r="U38" s="471">
        <f t="shared" si="31"/>
        <v>0</v>
      </c>
      <c r="V38" s="471">
        <f t="shared" si="31"/>
        <v>0</v>
      </c>
      <c r="W38" s="471">
        <f t="shared" si="31"/>
        <v>0</v>
      </c>
      <c r="X38" s="471">
        <f t="shared" si="31"/>
        <v>0</v>
      </c>
      <c r="Y38" s="471">
        <f t="shared" si="31"/>
        <v>0</v>
      </c>
      <c r="Z38" s="471">
        <f t="shared" si="31"/>
        <v>0</v>
      </c>
      <c r="AA38" s="471">
        <f t="shared" si="31"/>
        <v>0</v>
      </c>
      <c r="AB38" s="471">
        <f t="shared" si="31"/>
        <v>0</v>
      </c>
      <c r="AC38" s="471">
        <f t="shared" si="31"/>
        <v>0</v>
      </c>
      <c r="AD38" s="471">
        <f t="shared" si="31"/>
        <v>0</v>
      </c>
      <c r="AE38" s="471">
        <f t="shared" si="31"/>
        <v>0</v>
      </c>
      <c r="AF38" s="471">
        <f t="shared" si="31"/>
        <v>0</v>
      </c>
      <c r="AG38" s="471">
        <f t="shared" si="31"/>
        <v>0</v>
      </c>
      <c r="AH38" s="471">
        <f t="shared" si="31"/>
        <v>0</v>
      </c>
      <c r="AI38" s="471">
        <f t="shared" si="31"/>
        <v>0</v>
      </c>
      <c r="AJ38" s="471">
        <f t="shared" si="31"/>
        <v>0</v>
      </c>
      <c r="AK38" s="471">
        <f t="shared" si="31"/>
        <v>0</v>
      </c>
      <c r="AL38" s="471">
        <f t="shared" si="31"/>
        <v>0</v>
      </c>
      <c r="AM38" s="471">
        <f t="shared" si="31"/>
        <v>0</v>
      </c>
      <c r="AN38" s="471">
        <f t="shared" ref="AN38:BS38" si="32">AN17</f>
        <v>0</v>
      </c>
      <c r="AO38" s="471">
        <f t="shared" si="32"/>
        <v>0</v>
      </c>
      <c r="AP38" s="471">
        <f t="shared" si="32"/>
        <v>0</v>
      </c>
      <c r="AQ38" s="471">
        <f t="shared" si="32"/>
        <v>0</v>
      </c>
      <c r="AR38" s="471">
        <f t="shared" si="32"/>
        <v>0</v>
      </c>
      <c r="AS38" s="471">
        <f t="shared" si="32"/>
        <v>0</v>
      </c>
      <c r="AT38" s="471">
        <f t="shared" si="32"/>
        <v>0</v>
      </c>
      <c r="AU38" s="471">
        <f t="shared" si="32"/>
        <v>0</v>
      </c>
      <c r="AV38" s="471">
        <f t="shared" si="32"/>
        <v>0</v>
      </c>
      <c r="AW38" s="471">
        <f t="shared" si="32"/>
        <v>0</v>
      </c>
      <c r="AX38" s="471">
        <f t="shared" si="32"/>
        <v>0</v>
      </c>
      <c r="AY38" s="471">
        <f t="shared" si="32"/>
        <v>0</v>
      </c>
      <c r="AZ38" s="471">
        <f t="shared" si="32"/>
        <v>0</v>
      </c>
      <c r="BA38" s="471">
        <f t="shared" si="32"/>
        <v>0</v>
      </c>
      <c r="BB38" s="471">
        <f t="shared" si="32"/>
        <v>0</v>
      </c>
      <c r="BC38" s="471">
        <f t="shared" si="32"/>
        <v>0</v>
      </c>
      <c r="BD38" s="471">
        <f t="shared" si="32"/>
        <v>0</v>
      </c>
      <c r="BE38" s="471">
        <f t="shared" si="32"/>
        <v>0</v>
      </c>
      <c r="BF38" s="471">
        <f t="shared" si="32"/>
        <v>0</v>
      </c>
      <c r="BG38" s="471">
        <f t="shared" si="32"/>
        <v>0</v>
      </c>
      <c r="BH38" s="471">
        <f t="shared" si="32"/>
        <v>0</v>
      </c>
      <c r="BI38" s="471">
        <f t="shared" si="32"/>
        <v>0</v>
      </c>
      <c r="BJ38" s="471">
        <f t="shared" si="32"/>
        <v>0</v>
      </c>
      <c r="BK38" s="471">
        <f t="shared" si="32"/>
        <v>0</v>
      </c>
      <c r="BL38" s="471">
        <f t="shared" si="32"/>
        <v>0</v>
      </c>
      <c r="BM38" s="471">
        <f t="shared" si="32"/>
        <v>0</v>
      </c>
      <c r="BN38" s="471">
        <f t="shared" si="32"/>
        <v>0</v>
      </c>
      <c r="BO38" s="471">
        <f t="shared" si="32"/>
        <v>0</v>
      </c>
      <c r="BP38" s="471">
        <f t="shared" si="32"/>
        <v>0</v>
      </c>
      <c r="BQ38" s="471">
        <f t="shared" si="32"/>
        <v>0</v>
      </c>
      <c r="BR38" s="471">
        <f t="shared" si="32"/>
        <v>0</v>
      </c>
      <c r="BS38" s="471">
        <f t="shared" si="32"/>
        <v>0</v>
      </c>
      <c r="BT38" s="471">
        <f t="shared" ref="BT38:DC38" si="33">BT17</f>
        <v>0</v>
      </c>
      <c r="BU38" s="471">
        <f t="shared" si="33"/>
        <v>0</v>
      </c>
      <c r="BV38" s="471">
        <f t="shared" si="33"/>
        <v>0</v>
      </c>
      <c r="BW38" s="471">
        <f t="shared" si="33"/>
        <v>0</v>
      </c>
      <c r="BX38" s="471">
        <f t="shared" si="33"/>
        <v>0</v>
      </c>
      <c r="BY38" s="471">
        <f t="shared" si="33"/>
        <v>0</v>
      </c>
      <c r="BZ38" s="471">
        <f t="shared" si="33"/>
        <v>0</v>
      </c>
      <c r="CA38" s="471">
        <f t="shared" si="33"/>
        <v>0</v>
      </c>
      <c r="CB38" s="471">
        <f t="shared" si="33"/>
        <v>0</v>
      </c>
      <c r="CC38" s="471">
        <f t="shared" si="33"/>
        <v>0</v>
      </c>
      <c r="CD38" s="471">
        <f t="shared" si="33"/>
        <v>0</v>
      </c>
      <c r="CE38" s="471">
        <f t="shared" si="33"/>
        <v>0</v>
      </c>
      <c r="CF38" s="471">
        <f t="shared" si="33"/>
        <v>0</v>
      </c>
      <c r="CG38" s="471">
        <f t="shared" si="33"/>
        <v>0</v>
      </c>
      <c r="CH38" s="471">
        <f t="shared" si="33"/>
        <v>0</v>
      </c>
      <c r="CI38" s="471">
        <f t="shared" si="33"/>
        <v>0</v>
      </c>
      <c r="CJ38" s="471">
        <f t="shared" si="33"/>
        <v>0</v>
      </c>
      <c r="CK38" s="471">
        <f t="shared" si="33"/>
        <v>0</v>
      </c>
      <c r="CL38" s="471">
        <f t="shared" si="33"/>
        <v>0</v>
      </c>
      <c r="CM38" s="471">
        <f t="shared" si="33"/>
        <v>0</v>
      </c>
      <c r="CN38" s="471">
        <f t="shared" si="33"/>
        <v>0</v>
      </c>
      <c r="CO38" s="471">
        <f t="shared" si="33"/>
        <v>0</v>
      </c>
      <c r="CP38" s="471">
        <f t="shared" si="33"/>
        <v>0</v>
      </c>
      <c r="CQ38" s="471">
        <f t="shared" si="33"/>
        <v>0</v>
      </c>
      <c r="CR38" s="471">
        <f t="shared" si="33"/>
        <v>0</v>
      </c>
      <c r="CS38" s="471">
        <f t="shared" si="33"/>
        <v>0</v>
      </c>
      <c r="CT38" s="471">
        <f t="shared" si="33"/>
        <v>0</v>
      </c>
      <c r="CU38" s="471">
        <f t="shared" si="33"/>
        <v>0</v>
      </c>
      <c r="CV38" s="471">
        <f t="shared" si="33"/>
        <v>0</v>
      </c>
      <c r="CW38" s="471">
        <f t="shared" si="33"/>
        <v>0</v>
      </c>
      <c r="CX38" s="471">
        <f t="shared" si="33"/>
        <v>0</v>
      </c>
      <c r="CY38" s="471">
        <f t="shared" si="33"/>
        <v>0</v>
      </c>
      <c r="CZ38" s="471">
        <f t="shared" si="33"/>
        <v>0</v>
      </c>
      <c r="DA38" s="471">
        <f t="shared" si="33"/>
        <v>0</v>
      </c>
      <c r="DB38" s="471">
        <f t="shared" si="33"/>
        <v>0</v>
      </c>
      <c r="DC38" s="471">
        <f t="shared" si="33"/>
        <v>0</v>
      </c>
    </row>
    <row r="39" spans="2:107" ht="15" customHeight="1" x14ac:dyDescent="0.25">
      <c r="B39" s="900"/>
      <c r="C39" s="225" t="s">
        <v>4219</v>
      </c>
      <c r="D39" s="225"/>
      <c r="E39" s="226" t="s">
        <v>4220</v>
      </c>
      <c r="F39" s="232" t="s">
        <v>4237</v>
      </c>
      <c r="G39" s="237" t="str">
        <f>IF(COUNTA(H39:DC39)=0,"",IF(OR(LARGE(H39:DC39,1)&gt;12,SMALL(H39:DC39,1)&lt;0),"ERRO",""))</f>
        <v/>
      </c>
      <c r="H39" s="471">
        <f t="shared" ref="H39:AM39" si="34">H18</f>
        <v>0</v>
      </c>
      <c r="I39" s="471">
        <f t="shared" si="34"/>
        <v>0</v>
      </c>
      <c r="J39" s="471">
        <f t="shared" si="34"/>
        <v>0</v>
      </c>
      <c r="K39" s="471">
        <f t="shared" si="34"/>
        <v>0</v>
      </c>
      <c r="L39" s="471">
        <f t="shared" si="34"/>
        <v>0</v>
      </c>
      <c r="M39" s="471">
        <f t="shared" si="34"/>
        <v>0</v>
      </c>
      <c r="N39" s="471">
        <f t="shared" si="34"/>
        <v>0</v>
      </c>
      <c r="O39" s="471">
        <f t="shared" si="34"/>
        <v>0</v>
      </c>
      <c r="P39" s="471">
        <f t="shared" si="34"/>
        <v>0</v>
      </c>
      <c r="Q39" s="471">
        <f t="shared" si="34"/>
        <v>0</v>
      </c>
      <c r="R39" s="471">
        <f t="shared" si="34"/>
        <v>0</v>
      </c>
      <c r="S39" s="471">
        <f t="shared" si="34"/>
        <v>0</v>
      </c>
      <c r="T39" s="471">
        <f t="shared" si="34"/>
        <v>0</v>
      </c>
      <c r="U39" s="471">
        <f t="shared" si="34"/>
        <v>0</v>
      </c>
      <c r="V39" s="471">
        <f t="shared" si="34"/>
        <v>0</v>
      </c>
      <c r="W39" s="471">
        <f t="shared" si="34"/>
        <v>0</v>
      </c>
      <c r="X39" s="471">
        <f t="shared" si="34"/>
        <v>0</v>
      </c>
      <c r="Y39" s="471">
        <f t="shared" si="34"/>
        <v>0</v>
      </c>
      <c r="Z39" s="471">
        <f t="shared" si="34"/>
        <v>0</v>
      </c>
      <c r="AA39" s="471">
        <f t="shared" si="34"/>
        <v>0</v>
      </c>
      <c r="AB39" s="471">
        <f t="shared" si="34"/>
        <v>0</v>
      </c>
      <c r="AC39" s="471">
        <f t="shared" si="34"/>
        <v>0</v>
      </c>
      <c r="AD39" s="471">
        <f t="shared" si="34"/>
        <v>0</v>
      </c>
      <c r="AE39" s="471">
        <f t="shared" si="34"/>
        <v>0</v>
      </c>
      <c r="AF39" s="471">
        <f t="shared" si="34"/>
        <v>0</v>
      </c>
      <c r="AG39" s="471">
        <f t="shared" si="34"/>
        <v>0</v>
      </c>
      <c r="AH39" s="471">
        <f t="shared" si="34"/>
        <v>0</v>
      </c>
      <c r="AI39" s="471">
        <f t="shared" si="34"/>
        <v>0</v>
      </c>
      <c r="AJ39" s="471">
        <f t="shared" si="34"/>
        <v>0</v>
      </c>
      <c r="AK39" s="471">
        <f t="shared" si="34"/>
        <v>0</v>
      </c>
      <c r="AL39" s="471">
        <f t="shared" si="34"/>
        <v>0</v>
      </c>
      <c r="AM39" s="471">
        <f t="shared" si="34"/>
        <v>0</v>
      </c>
      <c r="AN39" s="471">
        <f t="shared" ref="AN39:BS39" si="35">AN18</f>
        <v>0</v>
      </c>
      <c r="AO39" s="471">
        <f t="shared" si="35"/>
        <v>0</v>
      </c>
      <c r="AP39" s="471">
        <f t="shared" si="35"/>
        <v>0</v>
      </c>
      <c r="AQ39" s="471">
        <f t="shared" si="35"/>
        <v>0</v>
      </c>
      <c r="AR39" s="471">
        <f t="shared" si="35"/>
        <v>0</v>
      </c>
      <c r="AS39" s="471">
        <f t="shared" si="35"/>
        <v>0</v>
      </c>
      <c r="AT39" s="471">
        <f t="shared" si="35"/>
        <v>0</v>
      </c>
      <c r="AU39" s="471">
        <f t="shared" si="35"/>
        <v>0</v>
      </c>
      <c r="AV39" s="471">
        <f t="shared" si="35"/>
        <v>0</v>
      </c>
      <c r="AW39" s="471">
        <f t="shared" si="35"/>
        <v>0</v>
      </c>
      <c r="AX39" s="471">
        <f t="shared" si="35"/>
        <v>0</v>
      </c>
      <c r="AY39" s="471">
        <f t="shared" si="35"/>
        <v>0</v>
      </c>
      <c r="AZ39" s="471">
        <f t="shared" si="35"/>
        <v>0</v>
      </c>
      <c r="BA39" s="471">
        <f t="shared" si="35"/>
        <v>0</v>
      </c>
      <c r="BB39" s="471">
        <f t="shared" si="35"/>
        <v>0</v>
      </c>
      <c r="BC39" s="471">
        <f t="shared" si="35"/>
        <v>0</v>
      </c>
      <c r="BD39" s="471">
        <f t="shared" si="35"/>
        <v>0</v>
      </c>
      <c r="BE39" s="471">
        <f t="shared" si="35"/>
        <v>0</v>
      </c>
      <c r="BF39" s="471">
        <f t="shared" si="35"/>
        <v>0</v>
      </c>
      <c r="BG39" s="471">
        <f t="shared" si="35"/>
        <v>0</v>
      </c>
      <c r="BH39" s="471">
        <f t="shared" si="35"/>
        <v>0</v>
      </c>
      <c r="BI39" s="471">
        <f t="shared" si="35"/>
        <v>0</v>
      </c>
      <c r="BJ39" s="471">
        <f t="shared" si="35"/>
        <v>0</v>
      </c>
      <c r="BK39" s="471">
        <f t="shared" si="35"/>
        <v>0</v>
      </c>
      <c r="BL39" s="471">
        <f t="shared" si="35"/>
        <v>0</v>
      </c>
      <c r="BM39" s="471">
        <f t="shared" si="35"/>
        <v>0</v>
      </c>
      <c r="BN39" s="471">
        <f t="shared" si="35"/>
        <v>0</v>
      </c>
      <c r="BO39" s="471">
        <f t="shared" si="35"/>
        <v>0</v>
      </c>
      <c r="BP39" s="471">
        <f t="shared" si="35"/>
        <v>0</v>
      </c>
      <c r="BQ39" s="471">
        <f t="shared" si="35"/>
        <v>0</v>
      </c>
      <c r="BR39" s="471">
        <f t="shared" si="35"/>
        <v>0</v>
      </c>
      <c r="BS39" s="471">
        <f t="shared" si="35"/>
        <v>0</v>
      </c>
      <c r="BT39" s="471">
        <f t="shared" ref="BT39:DC39" si="36">BT18</f>
        <v>0</v>
      </c>
      <c r="BU39" s="471">
        <f t="shared" si="36"/>
        <v>0</v>
      </c>
      <c r="BV39" s="471">
        <f t="shared" si="36"/>
        <v>0</v>
      </c>
      <c r="BW39" s="471">
        <f t="shared" si="36"/>
        <v>0</v>
      </c>
      <c r="BX39" s="471">
        <f t="shared" si="36"/>
        <v>0</v>
      </c>
      <c r="BY39" s="471">
        <f t="shared" si="36"/>
        <v>0</v>
      </c>
      <c r="BZ39" s="471">
        <f t="shared" si="36"/>
        <v>0</v>
      </c>
      <c r="CA39" s="471">
        <f t="shared" si="36"/>
        <v>0</v>
      </c>
      <c r="CB39" s="471">
        <f t="shared" si="36"/>
        <v>0</v>
      </c>
      <c r="CC39" s="471">
        <f t="shared" si="36"/>
        <v>0</v>
      </c>
      <c r="CD39" s="471">
        <f t="shared" si="36"/>
        <v>0</v>
      </c>
      <c r="CE39" s="471">
        <f t="shared" si="36"/>
        <v>0</v>
      </c>
      <c r="CF39" s="471">
        <f t="shared" si="36"/>
        <v>0</v>
      </c>
      <c r="CG39" s="471">
        <f t="shared" si="36"/>
        <v>0</v>
      </c>
      <c r="CH39" s="471">
        <f t="shared" si="36"/>
        <v>0</v>
      </c>
      <c r="CI39" s="471">
        <f t="shared" si="36"/>
        <v>0</v>
      </c>
      <c r="CJ39" s="471">
        <f t="shared" si="36"/>
        <v>0</v>
      </c>
      <c r="CK39" s="471">
        <f t="shared" si="36"/>
        <v>0</v>
      </c>
      <c r="CL39" s="471">
        <f t="shared" si="36"/>
        <v>0</v>
      </c>
      <c r="CM39" s="471">
        <f t="shared" si="36"/>
        <v>0</v>
      </c>
      <c r="CN39" s="471">
        <f t="shared" si="36"/>
        <v>0</v>
      </c>
      <c r="CO39" s="471">
        <f t="shared" si="36"/>
        <v>0</v>
      </c>
      <c r="CP39" s="471">
        <f t="shared" si="36"/>
        <v>0</v>
      </c>
      <c r="CQ39" s="471">
        <f t="shared" si="36"/>
        <v>0</v>
      </c>
      <c r="CR39" s="471">
        <f t="shared" si="36"/>
        <v>0</v>
      </c>
      <c r="CS39" s="471">
        <f t="shared" si="36"/>
        <v>0</v>
      </c>
      <c r="CT39" s="471">
        <f t="shared" si="36"/>
        <v>0</v>
      </c>
      <c r="CU39" s="471">
        <f t="shared" si="36"/>
        <v>0</v>
      </c>
      <c r="CV39" s="471">
        <f t="shared" si="36"/>
        <v>0</v>
      </c>
      <c r="CW39" s="471">
        <f t="shared" si="36"/>
        <v>0</v>
      </c>
      <c r="CX39" s="471">
        <f t="shared" si="36"/>
        <v>0</v>
      </c>
      <c r="CY39" s="471">
        <f t="shared" si="36"/>
        <v>0</v>
      </c>
      <c r="CZ39" s="471">
        <f t="shared" si="36"/>
        <v>0</v>
      </c>
      <c r="DA39" s="471">
        <f t="shared" si="36"/>
        <v>0</v>
      </c>
      <c r="DB39" s="471">
        <f t="shared" si="36"/>
        <v>0</v>
      </c>
      <c r="DC39" s="471">
        <f t="shared" si="36"/>
        <v>0</v>
      </c>
    </row>
    <row r="40" spans="2:107" ht="15" customHeight="1" x14ac:dyDescent="0.25">
      <c r="B40" s="900"/>
      <c r="C40" s="225" t="s">
        <v>4222</v>
      </c>
      <c r="D40" s="225"/>
      <c r="E40" s="231" t="s">
        <v>3857</v>
      </c>
      <c r="F40" s="232" t="s">
        <v>4238</v>
      </c>
      <c r="G40" s="233">
        <f>SUM(H40:DC40)</f>
        <v>0</v>
      </c>
      <c r="H40" s="236">
        <f>H33*((H37*H38*H39)/792)</f>
        <v>0</v>
      </c>
      <c r="I40" s="236">
        <f t="shared" ref="I40:BD40" si="37">I33*((I37*I38*I39)/792)</f>
        <v>0</v>
      </c>
      <c r="J40" s="236">
        <f t="shared" si="37"/>
        <v>0</v>
      </c>
      <c r="K40" s="236">
        <f t="shared" si="37"/>
        <v>0</v>
      </c>
      <c r="L40" s="236">
        <f t="shared" si="37"/>
        <v>0</v>
      </c>
      <c r="M40" s="236">
        <f t="shared" si="37"/>
        <v>0</v>
      </c>
      <c r="N40" s="236">
        <f t="shared" si="37"/>
        <v>0</v>
      </c>
      <c r="O40" s="236">
        <f t="shared" si="37"/>
        <v>0</v>
      </c>
      <c r="P40" s="236">
        <f t="shared" si="37"/>
        <v>0</v>
      </c>
      <c r="Q40" s="236">
        <f t="shared" si="37"/>
        <v>0</v>
      </c>
      <c r="R40" s="236">
        <f t="shared" si="37"/>
        <v>0</v>
      </c>
      <c r="S40" s="236">
        <f t="shared" si="37"/>
        <v>0</v>
      </c>
      <c r="T40" s="236">
        <f t="shared" si="37"/>
        <v>0</v>
      </c>
      <c r="U40" s="236">
        <f t="shared" si="37"/>
        <v>0</v>
      </c>
      <c r="V40" s="236">
        <f t="shared" si="37"/>
        <v>0</v>
      </c>
      <c r="W40" s="236">
        <f t="shared" si="37"/>
        <v>0</v>
      </c>
      <c r="X40" s="236">
        <f t="shared" si="37"/>
        <v>0</v>
      </c>
      <c r="Y40" s="236">
        <f t="shared" si="37"/>
        <v>0</v>
      </c>
      <c r="Z40" s="236">
        <f t="shared" si="37"/>
        <v>0</v>
      </c>
      <c r="AA40" s="236">
        <f t="shared" si="37"/>
        <v>0</v>
      </c>
      <c r="AB40" s="236">
        <f t="shared" si="37"/>
        <v>0</v>
      </c>
      <c r="AC40" s="236">
        <f t="shared" si="37"/>
        <v>0</v>
      </c>
      <c r="AD40" s="236">
        <f t="shared" si="37"/>
        <v>0</v>
      </c>
      <c r="AE40" s="236">
        <f t="shared" si="37"/>
        <v>0</v>
      </c>
      <c r="AF40" s="236">
        <f t="shared" si="37"/>
        <v>0</v>
      </c>
      <c r="AG40" s="236">
        <f t="shared" si="37"/>
        <v>0</v>
      </c>
      <c r="AH40" s="236">
        <f t="shared" si="37"/>
        <v>0</v>
      </c>
      <c r="AI40" s="236">
        <f t="shared" si="37"/>
        <v>0</v>
      </c>
      <c r="AJ40" s="236">
        <f t="shared" si="37"/>
        <v>0</v>
      </c>
      <c r="AK40" s="236">
        <f t="shared" si="37"/>
        <v>0</v>
      </c>
      <c r="AL40" s="236">
        <f t="shared" si="37"/>
        <v>0</v>
      </c>
      <c r="AM40" s="236">
        <f t="shared" si="37"/>
        <v>0</v>
      </c>
      <c r="AN40" s="236">
        <f t="shared" si="37"/>
        <v>0</v>
      </c>
      <c r="AO40" s="236">
        <f t="shared" si="37"/>
        <v>0</v>
      </c>
      <c r="AP40" s="236">
        <f t="shared" si="37"/>
        <v>0</v>
      </c>
      <c r="AQ40" s="236">
        <f t="shared" si="37"/>
        <v>0</v>
      </c>
      <c r="AR40" s="236">
        <f t="shared" si="37"/>
        <v>0</v>
      </c>
      <c r="AS40" s="236">
        <f t="shared" si="37"/>
        <v>0</v>
      </c>
      <c r="AT40" s="236">
        <f t="shared" si="37"/>
        <v>0</v>
      </c>
      <c r="AU40" s="236">
        <f t="shared" si="37"/>
        <v>0</v>
      </c>
      <c r="AV40" s="236">
        <f t="shared" si="37"/>
        <v>0</v>
      </c>
      <c r="AW40" s="236">
        <f t="shared" si="37"/>
        <v>0</v>
      </c>
      <c r="AX40" s="236">
        <f t="shared" si="37"/>
        <v>0</v>
      </c>
      <c r="AY40" s="236">
        <f t="shared" si="37"/>
        <v>0</v>
      </c>
      <c r="AZ40" s="236">
        <f t="shared" si="37"/>
        <v>0</v>
      </c>
      <c r="BA40" s="236">
        <f t="shared" si="37"/>
        <v>0</v>
      </c>
      <c r="BB40" s="236">
        <f t="shared" si="37"/>
        <v>0</v>
      </c>
      <c r="BC40" s="236">
        <f t="shared" si="37"/>
        <v>0</v>
      </c>
      <c r="BD40" s="236">
        <f t="shared" si="37"/>
        <v>0</v>
      </c>
      <c r="BE40" s="236">
        <f t="shared" ref="BE40:DC40" si="38">BE33*((BE37*BE38*BE39)/792)</f>
        <v>0</v>
      </c>
      <c r="BF40" s="236">
        <f t="shared" si="38"/>
        <v>0</v>
      </c>
      <c r="BG40" s="236">
        <f t="shared" si="38"/>
        <v>0</v>
      </c>
      <c r="BH40" s="236">
        <f t="shared" si="38"/>
        <v>0</v>
      </c>
      <c r="BI40" s="236">
        <f t="shared" si="38"/>
        <v>0</v>
      </c>
      <c r="BJ40" s="236">
        <f t="shared" si="38"/>
        <v>0</v>
      </c>
      <c r="BK40" s="236">
        <f t="shared" si="38"/>
        <v>0</v>
      </c>
      <c r="BL40" s="236">
        <f t="shared" si="38"/>
        <v>0</v>
      </c>
      <c r="BM40" s="236">
        <f t="shared" si="38"/>
        <v>0</v>
      </c>
      <c r="BN40" s="236">
        <f t="shared" si="38"/>
        <v>0</v>
      </c>
      <c r="BO40" s="236">
        <f t="shared" si="38"/>
        <v>0</v>
      </c>
      <c r="BP40" s="236">
        <f t="shared" si="38"/>
        <v>0</v>
      </c>
      <c r="BQ40" s="236">
        <f t="shared" si="38"/>
        <v>0</v>
      </c>
      <c r="BR40" s="236">
        <f t="shared" si="38"/>
        <v>0</v>
      </c>
      <c r="BS40" s="236">
        <f t="shared" si="38"/>
        <v>0</v>
      </c>
      <c r="BT40" s="236">
        <f t="shared" si="38"/>
        <v>0</v>
      </c>
      <c r="BU40" s="236">
        <f t="shared" si="38"/>
        <v>0</v>
      </c>
      <c r="BV40" s="236">
        <f t="shared" si="38"/>
        <v>0</v>
      </c>
      <c r="BW40" s="236">
        <f t="shared" si="38"/>
        <v>0</v>
      </c>
      <c r="BX40" s="236">
        <f t="shared" si="38"/>
        <v>0</v>
      </c>
      <c r="BY40" s="236">
        <f t="shared" si="38"/>
        <v>0</v>
      </c>
      <c r="BZ40" s="236">
        <f t="shared" si="38"/>
        <v>0</v>
      </c>
      <c r="CA40" s="236">
        <f t="shared" si="38"/>
        <v>0</v>
      </c>
      <c r="CB40" s="236">
        <f t="shared" si="38"/>
        <v>0</v>
      </c>
      <c r="CC40" s="236">
        <f t="shared" si="38"/>
        <v>0</v>
      </c>
      <c r="CD40" s="236">
        <f t="shared" si="38"/>
        <v>0</v>
      </c>
      <c r="CE40" s="236">
        <f t="shared" si="38"/>
        <v>0</v>
      </c>
      <c r="CF40" s="236">
        <f t="shared" si="38"/>
        <v>0</v>
      </c>
      <c r="CG40" s="236">
        <f t="shared" si="38"/>
        <v>0</v>
      </c>
      <c r="CH40" s="236">
        <f t="shared" si="38"/>
        <v>0</v>
      </c>
      <c r="CI40" s="236">
        <f t="shared" si="38"/>
        <v>0</v>
      </c>
      <c r="CJ40" s="236">
        <f t="shared" si="38"/>
        <v>0</v>
      </c>
      <c r="CK40" s="236">
        <f t="shared" si="38"/>
        <v>0</v>
      </c>
      <c r="CL40" s="236">
        <f t="shared" si="38"/>
        <v>0</v>
      </c>
      <c r="CM40" s="236">
        <f t="shared" si="38"/>
        <v>0</v>
      </c>
      <c r="CN40" s="236">
        <f t="shared" si="38"/>
        <v>0</v>
      </c>
      <c r="CO40" s="236">
        <f t="shared" si="38"/>
        <v>0</v>
      </c>
      <c r="CP40" s="236">
        <f t="shared" si="38"/>
        <v>0</v>
      </c>
      <c r="CQ40" s="236">
        <f t="shared" si="38"/>
        <v>0</v>
      </c>
      <c r="CR40" s="236">
        <f t="shared" si="38"/>
        <v>0</v>
      </c>
      <c r="CS40" s="236">
        <f t="shared" si="38"/>
        <v>0</v>
      </c>
      <c r="CT40" s="236">
        <f t="shared" si="38"/>
        <v>0</v>
      </c>
      <c r="CU40" s="236">
        <f t="shared" si="38"/>
        <v>0</v>
      </c>
      <c r="CV40" s="236">
        <f t="shared" si="38"/>
        <v>0</v>
      </c>
      <c r="CW40" s="236">
        <f t="shared" si="38"/>
        <v>0</v>
      </c>
      <c r="CX40" s="236">
        <f t="shared" si="38"/>
        <v>0</v>
      </c>
      <c r="CY40" s="236">
        <f t="shared" si="38"/>
        <v>0</v>
      </c>
      <c r="CZ40" s="236">
        <f t="shared" si="38"/>
        <v>0</v>
      </c>
      <c r="DA40" s="236">
        <f t="shared" si="38"/>
        <v>0</v>
      </c>
      <c r="DB40" s="236">
        <f t="shared" si="38"/>
        <v>0</v>
      </c>
      <c r="DC40" s="236">
        <f t="shared" si="38"/>
        <v>0</v>
      </c>
    </row>
    <row r="41" spans="2:107" ht="15" customHeight="1" x14ac:dyDescent="0.25">
      <c r="B41" s="901"/>
      <c r="C41" s="225" t="s">
        <v>4224</v>
      </c>
      <c r="D41" s="225"/>
      <c r="E41" s="225"/>
      <c r="F41" s="232" t="s">
        <v>4239</v>
      </c>
      <c r="G41" s="237" t="str">
        <f>IF(COUNTA(H41:DC41)=0,"",IF(OR(LARGE(H41:DC41,1)&gt;1,SMALL(H41:DC41,1)&lt;0),"ERRO",""))</f>
        <v/>
      </c>
      <c r="H41" s="242">
        <f>IF(H33=0,0,H40/H33)</f>
        <v>0</v>
      </c>
      <c r="I41" s="242">
        <f t="shared" ref="I41:BD41" si="39">IF(I33=0,0,I40/I33)</f>
        <v>0</v>
      </c>
      <c r="J41" s="242">
        <f t="shared" si="39"/>
        <v>0</v>
      </c>
      <c r="K41" s="242">
        <f t="shared" si="39"/>
        <v>0</v>
      </c>
      <c r="L41" s="242">
        <f t="shared" si="39"/>
        <v>0</v>
      </c>
      <c r="M41" s="242">
        <f t="shared" si="39"/>
        <v>0</v>
      </c>
      <c r="N41" s="242">
        <f t="shared" si="39"/>
        <v>0</v>
      </c>
      <c r="O41" s="242">
        <f t="shared" si="39"/>
        <v>0</v>
      </c>
      <c r="P41" s="242">
        <f t="shared" si="39"/>
        <v>0</v>
      </c>
      <c r="Q41" s="242">
        <f t="shared" si="39"/>
        <v>0</v>
      </c>
      <c r="R41" s="242">
        <f t="shared" si="39"/>
        <v>0</v>
      </c>
      <c r="S41" s="242">
        <f t="shared" si="39"/>
        <v>0</v>
      </c>
      <c r="T41" s="242">
        <f t="shared" si="39"/>
        <v>0</v>
      </c>
      <c r="U41" s="242">
        <f t="shared" si="39"/>
        <v>0</v>
      </c>
      <c r="V41" s="242">
        <f t="shared" si="39"/>
        <v>0</v>
      </c>
      <c r="W41" s="242">
        <f t="shared" si="39"/>
        <v>0</v>
      </c>
      <c r="X41" s="242">
        <f t="shared" si="39"/>
        <v>0</v>
      </c>
      <c r="Y41" s="242">
        <f t="shared" si="39"/>
        <v>0</v>
      </c>
      <c r="Z41" s="242">
        <f t="shared" si="39"/>
        <v>0</v>
      </c>
      <c r="AA41" s="242">
        <f t="shared" si="39"/>
        <v>0</v>
      </c>
      <c r="AB41" s="242">
        <f t="shared" si="39"/>
        <v>0</v>
      </c>
      <c r="AC41" s="242">
        <f t="shared" si="39"/>
        <v>0</v>
      </c>
      <c r="AD41" s="242">
        <f t="shared" si="39"/>
        <v>0</v>
      </c>
      <c r="AE41" s="242">
        <f t="shared" si="39"/>
        <v>0</v>
      </c>
      <c r="AF41" s="242">
        <f t="shared" si="39"/>
        <v>0</v>
      </c>
      <c r="AG41" s="242">
        <f t="shared" si="39"/>
        <v>0</v>
      </c>
      <c r="AH41" s="242">
        <f t="shared" si="39"/>
        <v>0</v>
      </c>
      <c r="AI41" s="242">
        <f t="shared" si="39"/>
        <v>0</v>
      </c>
      <c r="AJ41" s="242">
        <f t="shared" si="39"/>
        <v>0</v>
      </c>
      <c r="AK41" s="242">
        <f t="shared" si="39"/>
        <v>0</v>
      </c>
      <c r="AL41" s="242">
        <f t="shared" si="39"/>
        <v>0</v>
      </c>
      <c r="AM41" s="242">
        <f t="shared" si="39"/>
        <v>0</v>
      </c>
      <c r="AN41" s="242">
        <f t="shared" si="39"/>
        <v>0</v>
      </c>
      <c r="AO41" s="242">
        <f t="shared" si="39"/>
        <v>0</v>
      </c>
      <c r="AP41" s="242">
        <f t="shared" si="39"/>
        <v>0</v>
      </c>
      <c r="AQ41" s="242">
        <f t="shared" si="39"/>
        <v>0</v>
      </c>
      <c r="AR41" s="242">
        <f t="shared" si="39"/>
        <v>0</v>
      </c>
      <c r="AS41" s="242">
        <f t="shared" si="39"/>
        <v>0</v>
      </c>
      <c r="AT41" s="242">
        <f t="shared" si="39"/>
        <v>0</v>
      </c>
      <c r="AU41" s="242">
        <f t="shared" si="39"/>
        <v>0</v>
      </c>
      <c r="AV41" s="242">
        <f t="shared" si="39"/>
        <v>0</v>
      </c>
      <c r="AW41" s="242">
        <f t="shared" si="39"/>
        <v>0</v>
      </c>
      <c r="AX41" s="242">
        <f t="shared" si="39"/>
        <v>0</v>
      </c>
      <c r="AY41" s="242">
        <f t="shared" si="39"/>
        <v>0</v>
      </c>
      <c r="AZ41" s="242">
        <f t="shared" si="39"/>
        <v>0</v>
      </c>
      <c r="BA41" s="242">
        <f t="shared" si="39"/>
        <v>0</v>
      </c>
      <c r="BB41" s="242">
        <f t="shared" si="39"/>
        <v>0</v>
      </c>
      <c r="BC41" s="242">
        <f t="shared" si="39"/>
        <v>0</v>
      </c>
      <c r="BD41" s="242">
        <f t="shared" si="39"/>
        <v>0</v>
      </c>
      <c r="BE41" s="242">
        <f t="shared" ref="BE41:DC41" si="40">IF(BE33=0,0,BE40/BE33)</f>
        <v>0</v>
      </c>
      <c r="BF41" s="242">
        <f t="shared" si="40"/>
        <v>0</v>
      </c>
      <c r="BG41" s="242">
        <f t="shared" si="40"/>
        <v>0</v>
      </c>
      <c r="BH41" s="242">
        <f t="shared" si="40"/>
        <v>0</v>
      </c>
      <c r="BI41" s="242">
        <f t="shared" si="40"/>
        <v>0</v>
      </c>
      <c r="BJ41" s="242">
        <f t="shared" si="40"/>
        <v>0</v>
      </c>
      <c r="BK41" s="242">
        <f t="shared" si="40"/>
        <v>0</v>
      </c>
      <c r="BL41" s="242">
        <f t="shared" si="40"/>
        <v>0</v>
      </c>
      <c r="BM41" s="242">
        <f t="shared" si="40"/>
        <v>0</v>
      </c>
      <c r="BN41" s="242">
        <f t="shared" si="40"/>
        <v>0</v>
      </c>
      <c r="BO41" s="242">
        <f t="shared" si="40"/>
        <v>0</v>
      </c>
      <c r="BP41" s="242">
        <f t="shared" si="40"/>
        <v>0</v>
      </c>
      <c r="BQ41" s="242">
        <f t="shared" si="40"/>
        <v>0</v>
      </c>
      <c r="BR41" s="242">
        <f t="shared" si="40"/>
        <v>0</v>
      </c>
      <c r="BS41" s="242">
        <f t="shared" si="40"/>
        <v>0</v>
      </c>
      <c r="BT41" s="242">
        <f t="shared" si="40"/>
        <v>0</v>
      </c>
      <c r="BU41" s="242">
        <f t="shared" si="40"/>
        <v>0</v>
      </c>
      <c r="BV41" s="242">
        <f t="shared" si="40"/>
        <v>0</v>
      </c>
      <c r="BW41" s="242">
        <f t="shared" si="40"/>
        <v>0</v>
      </c>
      <c r="BX41" s="242">
        <f t="shared" si="40"/>
        <v>0</v>
      </c>
      <c r="BY41" s="242">
        <f t="shared" si="40"/>
        <v>0</v>
      </c>
      <c r="BZ41" s="242">
        <f t="shared" si="40"/>
        <v>0</v>
      </c>
      <c r="CA41" s="242">
        <f t="shared" si="40"/>
        <v>0</v>
      </c>
      <c r="CB41" s="242">
        <f t="shared" si="40"/>
        <v>0</v>
      </c>
      <c r="CC41" s="242">
        <f t="shared" si="40"/>
        <v>0</v>
      </c>
      <c r="CD41" s="242">
        <f t="shared" si="40"/>
        <v>0</v>
      </c>
      <c r="CE41" s="242">
        <f t="shared" si="40"/>
        <v>0</v>
      </c>
      <c r="CF41" s="242">
        <f t="shared" si="40"/>
        <v>0</v>
      </c>
      <c r="CG41" s="242">
        <f t="shared" si="40"/>
        <v>0</v>
      </c>
      <c r="CH41" s="242">
        <f t="shared" si="40"/>
        <v>0</v>
      </c>
      <c r="CI41" s="242">
        <f t="shared" si="40"/>
        <v>0</v>
      </c>
      <c r="CJ41" s="242">
        <f t="shared" si="40"/>
        <v>0</v>
      </c>
      <c r="CK41" s="242">
        <f t="shared" si="40"/>
        <v>0</v>
      </c>
      <c r="CL41" s="242">
        <f t="shared" si="40"/>
        <v>0</v>
      </c>
      <c r="CM41" s="242">
        <f t="shared" si="40"/>
        <v>0</v>
      </c>
      <c r="CN41" s="242">
        <f t="shared" si="40"/>
        <v>0</v>
      </c>
      <c r="CO41" s="242">
        <f t="shared" si="40"/>
        <v>0</v>
      </c>
      <c r="CP41" s="242">
        <f t="shared" si="40"/>
        <v>0</v>
      </c>
      <c r="CQ41" s="242">
        <f t="shared" si="40"/>
        <v>0</v>
      </c>
      <c r="CR41" s="242">
        <f t="shared" si="40"/>
        <v>0</v>
      </c>
      <c r="CS41" s="242">
        <f t="shared" si="40"/>
        <v>0</v>
      </c>
      <c r="CT41" s="242">
        <f t="shared" si="40"/>
        <v>0</v>
      </c>
      <c r="CU41" s="242">
        <f t="shared" si="40"/>
        <v>0</v>
      </c>
      <c r="CV41" s="242">
        <f t="shared" si="40"/>
        <v>0</v>
      </c>
      <c r="CW41" s="242">
        <f t="shared" si="40"/>
        <v>0</v>
      </c>
      <c r="CX41" s="242">
        <f t="shared" si="40"/>
        <v>0</v>
      </c>
      <c r="CY41" s="242">
        <f t="shared" si="40"/>
        <v>0</v>
      </c>
      <c r="CZ41" s="242">
        <f t="shared" si="40"/>
        <v>0</v>
      </c>
      <c r="DA41" s="242">
        <f t="shared" si="40"/>
        <v>0</v>
      </c>
      <c r="DB41" s="242">
        <f t="shared" si="40"/>
        <v>0</v>
      </c>
      <c r="DC41" s="242">
        <f t="shared" si="40"/>
        <v>0</v>
      </c>
    </row>
    <row r="42" spans="2:107" ht="15" customHeight="1" x14ac:dyDescent="0.25">
      <c r="B42" s="515">
        <v>22</v>
      </c>
      <c r="C42" s="225" t="s">
        <v>4226</v>
      </c>
      <c r="D42" s="225"/>
      <c r="E42" s="231" t="s">
        <v>3854</v>
      </c>
      <c r="F42" s="232" t="s">
        <v>4240</v>
      </c>
      <c r="G42" s="554">
        <f>SUM(H42:DC42)</f>
        <v>0</v>
      </c>
      <c r="H42" s="241">
        <f>H33*H36/1000</f>
        <v>0</v>
      </c>
      <c r="I42" s="241">
        <f t="shared" ref="I42:BD42" si="41">I33*I36/1000</f>
        <v>0</v>
      </c>
      <c r="J42" s="241">
        <f t="shared" si="41"/>
        <v>0</v>
      </c>
      <c r="K42" s="241">
        <f t="shared" si="41"/>
        <v>0</v>
      </c>
      <c r="L42" s="241">
        <f t="shared" si="41"/>
        <v>0</v>
      </c>
      <c r="M42" s="241">
        <f t="shared" si="41"/>
        <v>0</v>
      </c>
      <c r="N42" s="241">
        <f t="shared" si="41"/>
        <v>0</v>
      </c>
      <c r="O42" s="241">
        <f t="shared" si="41"/>
        <v>0</v>
      </c>
      <c r="P42" s="241">
        <f t="shared" si="41"/>
        <v>0</v>
      </c>
      <c r="Q42" s="241">
        <f t="shared" si="41"/>
        <v>0</v>
      </c>
      <c r="R42" s="241">
        <f t="shared" si="41"/>
        <v>0</v>
      </c>
      <c r="S42" s="241">
        <f t="shared" si="41"/>
        <v>0</v>
      </c>
      <c r="T42" s="241">
        <f t="shared" si="41"/>
        <v>0</v>
      </c>
      <c r="U42" s="241">
        <f t="shared" si="41"/>
        <v>0</v>
      </c>
      <c r="V42" s="241">
        <f t="shared" si="41"/>
        <v>0</v>
      </c>
      <c r="W42" s="241">
        <f t="shared" si="41"/>
        <v>0</v>
      </c>
      <c r="X42" s="241">
        <f t="shared" si="41"/>
        <v>0</v>
      </c>
      <c r="Y42" s="241">
        <f t="shared" si="41"/>
        <v>0</v>
      </c>
      <c r="Z42" s="241">
        <f t="shared" si="41"/>
        <v>0</v>
      </c>
      <c r="AA42" s="241">
        <f t="shared" si="41"/>
        <v>0</v>
      </c>
      <c r="AB42" s="241">
        <f t="shared" si="41"/>
        <v>0</v>
      </c>
      <c r="AC42" s="241">
        <f t="shared" si="41"/>
        <v>0</v>
      </c>
      <c r="AD42" s="241">
        <f t="shared" si="41"/>
        <v>0</v>
      </c>
      <c r="AE42" s="241">
        <f t="shared" si="41"/>
        <v>0</v>
      </c>
      <c r="AF42" s="241">
        <f t="shared" si="41"/>
        <v>0</v>
      </c>
      <c r="AG42" s="241">
        <f t="shared" si="41"/>
        <v>0</v>
      </c>
      <c r="AH42" s="241">
        <f t="shared" si="41"/>
        <v>0</v>
      </c>
      <c r="AI42" s="241">
        <f t="shared" si="41"/>
        <v>0</v>
      </c>
      <c r="AJ42" s="241">
        <f t="shared" si="41"/>
        <v>0</v>
      </c>
      <c r="AK42" s="241">
        <f t="shared" si="41"/>
        <v>0</v>
      </c>
      <c r="AL42" s="241">
        <f t="shared" si="41"/>
        <v>0</v>
      </c>
      <c r="AM42" s="241">
        <f t="shared" si="41"/>
        <v>0</v>
      </c>
      <c r="AN42" s="241">
        <f t="shared" si="41"/>
        <v>0</v>
      </c>
      <c r="AO42" s="241">
        <f t="shared" si="41"/>
        <v>0</v>
      </c>
      <c r="AP42" s="241">
        <f t="shared" si="41"/>
        <v>0</v>
      </c>
      <c r="AQ42" s="241">
        <f t="shared" si="41"/>
        <v>0</v>
      </c>
      <c r="AR42" s="241">
        <f t="shared" si="41"/>
        <v>0</v>
      </c>
      <c r="AS42" s="241">
        <f t="shared" si="41"/>
        <v>0</v>
      </c>
      <c r="AT42" s="241">
        <f t="shared" si="41"/>
        <v>0</v>
      </c>
      <c r="AU42" s="241">
        <f t="shared" si="41"/>
        <v>0</v>
      </c>
      <c r="AV42" s="241">
        <f t="shared" si="41"/>
        <v>0</v>
      </c>
      <c r="AW42" s="241">
        <f t="shared" si="41"/>
        <v>0</v>
      </c>
      <c r="AX42" s="241">
        <f t="shared" si="41"/>
        <v>0</v>
      </c>
      <c r="AY42" s="241">
        <f t="shared" si="41"/>
        <v>0</v>
      </c>
      <c r="AZ42" s="241">
        <f t="shared" si="41"/>
        <v>0</v>
      </c>
      <c r="BA42" s="241">
        <f t="shared" si="41"/>
        <v>0</v>
      </c>
      <c r="BB42" s="241">
        <f t="shared" si="41"/>
        <v>0</v>
      </c>
      <c r="BC42" s="241">
        <f t="shared" si="41"/>
        <v>0</v>
      </c>
      <c r="BD42" s="241">
        <f t="shared" si="41"/>
        <v>0</v>
      </c>
      <c r="BE42" s="241">
        <f t="shared" ref="BE42:DC42" si="42">BE33*BE36/1000</f>
        <v>0</v>
      </c>
      <c r="BF42" s="241">
        <f t="shared" si="42"/>
        <v>0</v>
      </c>
      <c r="BG42" s="241">
        <f t="shared" si="42"/>
        <v>0</v>
      </c>
      <c r="BH42" s="241">
        <f t="shared" si="42"/>
        <v>0</v>
      </c>
      <c r="BI42" s="241">
        <f t="shared" si="42"/>
        <v>0</v>
      </c>
      <c r="BJ42" s="241">
        <f t="shared" si="42"/>
        <v>0</v>
      </c>
      <c r="BK42" s="241">
        <f t="shared" si="42"/>
        <v>0</v>
      </c>
      <c r="BL42" s="241">
        <f t="shared" si="42"/>
        <v>0</v>
      </c>
      <c r="BM42" s="241">
        <f t="shared" si="42"/>
        <v>0</v>
      </c>
      <c r="BN42" s="241">
        <f t="shared" si="42"/>
        <v>0</v>
      </c>
      <c r="BO42" s="241">
        <f t="shared" si="42"/>
        <v>0</v>
      </c>
      <c r="BP42" s="241">
        <f t="shared" si="42"/>
        <v>0</v>
      </c>
      <c r="BQ42" s="241">
        <f t="shared" si="42"/>
        <v>0</v>
      </c>
      <c r="BR42" s="241">
        <f t="shared" si="42"/>
        <v>0</v>
      </c>
      <c r="BS42" s="241">
        <f t="shared" si="42"/>
        <v>0</v>
      </c>
      <c r="BT42" s="241">
        <f t="shared" si="42"/>
        <v>0</v>
      </c>
      <c r="BU42" s="241">
        <f t="shared" si="42"/>
        <v>0</v>
      </c>
      <c r="BV42" s="241">
        <f t="shared" si="42"/>
        <v>0</v>
      </c>
      <c r="BW42" s="241">
        <f t="shared" si="42"/>
        <v>0</v>
      </c>
      <c r="BX42" s="241">
        <f t="shared" si="42"/>
        <v>0</v>
      </c>
      <c r="BY42" s="241">
        <f t="shared" si="42"/>
        <v>0</v>
      </c>
      <c r="BZ42" s="241">
        <f t="shared" si="42"/>
        <v>0</v>
      </c>
      <c r="CA42" s="241">
        <f t="shared" si="42"/>
        <v>0</v>
      </c>
      <c r="CB42" s="241">
        <f t="shared" si="42"/>
        <v>0</v>
      </c>
      <c r="CC42" s="241">
        <f t="shared" si="42"/>
        <v>0</v>
      </c>
      <c r="CD42" s="241">
        <f t="shared" si="42"/>
        <v>0</v>
      </c>
      <c r="CE42" s="241">
        <f t="shared" si="42"/>
        <v>0</v>
      </c>
      <c r="CF42" s="241">
        <f t="shared" si="42"/>
        <v>0</v>
      </c>
      <c r="CG42" s="241">
        <f t="shared" si="42"/>
        <v>0</v>
      </c>
      <c r="CH42" s="241">
        <f t="shared" si="42"/>
        <v>0</v>
      </c>
      <c r="CI42" s="241">
        <f t="shared" si="42"/>
        <v>0</v>
      </c>
      <c r="CJ42" s="241">
        <f t="shared" si="42"/>
        <v>0</v>
      </c>
      <c r="CK42" s="241">
        <f t="shared" si="42"/>
        <v>0</v>
      </c>
      <c r="CL42" s="241">
        <f t="shared" si="42"/>
        <v>0</v>
      </c>
      <c r="CM42" s="241">
        <f t="shared" si="42"/>
        <v>0</v>
      </c>
      <c r="CN42" s="241">
        <f t="shared" si="42"/>
        <v>0</v>
      </c>
      <c r="CO42" s="241">
        <f t="shared" si="42"/>
        <v>0</v>
      </c>
      <c r="CP42" s="241">
        <f t="shared" si="42"/>
        <v>0</v>
      </c>
      <c r="CQ42" s="241">
        <f t="shared" si="42"/>
        <v>0</v>
      </c>
      <c r="CR42" s="241">
        <f t="shared" si="42"/>
        <v>0</v>
      </c>
      <c r="CS42" s="241">
        <f t="shared" si="42"/>
        <v>0</v>
      </c>
      <c r="CT42" s="241">
        <f t="shared" si="42"/>
        <v>0</v>
      </c>
      <c r="CU42" s="241">
        <f t="shared" si="42"/>
        <v>0</v>
      </c>
      <c r="CV42" s="241">
        <f t="shared" si="42"/>
        <v>0</v>
      </c>
      <c r="CW42" s="241">
        <f t="shared" si="42"/>
        <v>0</v>
      </c>
      <c r="CX42" s="241">
        <f t="shared" si="42"/>
        <v>0</v>
      </c>
      <c r="CY42" s="241">
        <f t="shared" si="42"/>
        <v>0</v>
      </c>
      <c r="CZ42" s="241">
        <f t="shared" si="42"/>
        <v>0</v>
      </c>
      <c r="DA42" s="241">
        <f t="shared" si="42"/>
        <v>0</v>
      </c>
      <c r="DB42" s="241">
        <f t="shared" si="42"/>
        <v>0</v>
      </c>
      <c r="DC42" s="241">
        <f t="shared" si="42"/>
        <v>0</v>
      </c>
    </row>
    <row r="43" spans="2:107" ht="15" customHeight="1" x14ac:dyDescent="0.25">
      <c r="B43" s="515">
        <v>23</v>
      </c>
      <c r="C43" s="225" t="s">
        <v>4228</v>
      </c>
      <c r="D43" s="225"/>
      <c r="E43" s="226" t="s">
        <v>3857</v>
      </c>
      <c r="F43" s="232" t="s">
        <v>4241</v>
      </c>
      <c r="G43" s="243">
        <f>SUM(H43:DC43)</f>
        <v>0</v>
      </c>
      <c r="H43" s="244">
        <f>H33*H41</f>
        <v>0</v>
      </c>
      <c r="I43" s="244">
        <f t="shared" ref="I43:BD43" si="43">I33*I41</f>
        <v>0</v>
      </c>
      <c r="J43" s="244">
        <f t="shared" si="43"/>
        <v>0</v>
      </c>
      <c r="K43" s="244">
        <f t="shared" si="43"/>
        <v>0</v>
      </c>
      <c r="L43" s="244">
        <f t="shared" si="43"/>
        <v>0</v>
      </c>
      <c r="M43" s="244">
        <f t="shared" si="43"/>
        <v>0</v>
      </c>
      <c r="N43" s="244">
        <f t="shared" si="43"/>
        <v>0</v>
      </c>
      <c r="O43" s="244">
        <f t="shared" si="43"/>
        <v>0</v>
      </c>
      <c r="P43" s="244">
        <f t="shared" si="43"/>
        <v>0</v>
      </c>
      <c r="Q43" s="244">
        <f t="shared" si="43"/>
        <v>0</v>
      </c>
      <c r="R43" s="244">
        <f t="shared" si="43"/>
        <v>0</v>
      </c>
      <c r="S43" s="244">
        <f t="shared" si="43"/>
        <v>0</v>
      </c>
      <c r="T43" s="244">
        <f t="shared" si="43"/>
        <v>0</v>
      </c>
      <c r="U43" s="244">
        <f t="shared" si="43"/>
        <v>0</v>
      </c>
      <c r="V43" s="244">
        <f t="shared" si="43"/>
        <v>0</v>
      </c>
      <c r="W43" s="244">
        <f t="shared" si="43"/>
        <v>0</v>
      </c>
      <c r="X43" s="244">
        <f t="shared" si="43"/>
        <v>0</v>
      </c>
      <c r="Y43" s="244">
        <f t="shared" si="43"/>
        <v>0</v>
      </c>
      <c r="Z43" s="244">
        <f t="shared" si="43"/>
        <v>0</v>
      </c>
      <c r="AA43" s="244">
        <f t="shared" si="43"/>
        <v>0</v>
      </c>
      <c r="AB43" s="244">
        <f t="shared" si="43"/>
        <v>0</v>
      </c>
      <c r="AC43" s="244">
        <f t="shared" si="43"/>
        <v>0</v>
      </c>
      <c r="AD43" s="244">
        <f t="shared" si="43"/>
        <v>0</v>
      </c>
      <c r="AE43" s="244">
        <f t="shared" si="43"/>
        <v>0</v>
      </c>
      <c r="AF43" s="244">
        <f t="shared" si="43"/>
        <v>0</v>
      </c>
      <c r="AG43" s="244">
        <f t="shared" si="43"/>
        <v>0</v>
      </c>
      <c r="AH43" s="244">
        <f t="shared" si="43"/>
        <v>0</v>
      </c>
      <c r="AI43" s="244">
        <f t="shared" si="43"/>
        <v>0</v>
      </c>
      <c r="AJ43" s="244">
        <f t="shared" si="43"/>
        <v>0</v>
      </c>
      <c r="AK43" s="244">
        <f t="shared" si="43"/>
        <v>0</v>
      </c>
      <c r="AL43" s="244">
        <f t="shared" si="43"/>
        <v>0</v>
      </c>
      <c r="AM43" s="244">
        <f t="shared" si="43"/>
        <v>0</v>
      </c>
      <c r="AN43" s="244">
        <f t="shared" si="43"/>
        <v>0</v>
      </c>
      <c r="AO43" s="244">
        <f t="shared" si="43"/>
        <v>0</v>
      </c>
      <c r="AP43" s="244">
        <f t="shared" si="43"/>
        <v>0</v>
      </c>
      <c r="AQ43" s="244">
        <f t="shared" si="43"/>
        <v>0</v>
      </c>
      <c r="AR43" s="244">
        <f t="shared" si="43"/>
        <v>0</v>
      </c>
      <c r="AS43" s="244">
        <f t="shared" si="43"/>
        <v>0</v>
      </c>
      <c r="AT43" s="244">
        <f t="shared" si="43"/>
        <v>0</v>
      </c>
      <c r="AU43" s="244">
        <f t="shared" si="43"/>
        <v>0</v>
      </c>
      <c r="AV43" s="244">
        <f t="shared" si="43"/>
        <v>0</v>
      </c>
      <c r="AW43" s="244">
        <f t="shared" si="43"/>
        <v>0</v>
      </c>
      <c r="AX43" s="244">
        <f t="shared" si="43"/>
        <v>0</v>
      </c>
      <c r="AY43" s="244">
        <f t="shared" si="43"/>
        <v>0</v>
      </c>
      <c r="AZ43" s="244">
        <f t="shared" si="43"/>
        <v>0</v>
      </c>
      <c r="BA43" s="244">
        <f t="shared" si="43"/>
        <v>0</v>
      </c>
      <c r="BB43" s="244">
        <f t="shared" si="43"/>
        <v>0</v>
      </c>
      <c r="BC43" s="244">
        <f t="shared" si="43"/>
        <v>0</v>
      </c>
      <c r="BD43" s="244">
        <f t="shared" si="43"/>
        <v>0</v>
      </c>
      <c r="BE43" s="244">
        <f t="shared" ref="BE43:DC43" si="44">BE33*BE41</f>
        <v>0</v>
      </c>
      <c r="BF43" s="244">
        <f t="shared" si="44"/>
        <v>0</v>
      </c>
      <c r="BG43" s="244">
        <f t="shared" si="44"/>
        <v>0</v>
      </c>
      <c r="BH43" s="244">
        <f t="shared" si="44"/>
        <v>0</v>
      </c>
      <c r="BI43" s="244">
        <f t="shared" si="44"/>
        <v>0</v>
      </c>
      <c r="BJ43" s="244">
        <f t="shared" si="44"/>
        <v>0</v>
      </c>
      <c r="BK43" s="244">
        <f t="shared" si="44"/>
        <v>0</v>
      </c>
      <c r="BL43" s="244">
        <f t="shared" si="44"/>
        <v>0</v>
      </c>
      <c r="BM43" s="244">
        <f t="shared" si="44"/>
        <v>0</v>
      </c>
      <c r="BN43" s="244">
        <f t="shared" si="44"/>
        <v>0</v>
      </c>
      <c r="BO43" s="244">
        <f t="shared" si="44"/>
        <v>0</v>
      </c>
      <c r="BP43" s="244">
        <f t="shared" si="44"/>
        <v>0</v>
      </c>
      <c r="BQ43" s="244">
        <f t="shared" si="44"/>
        <v>0</v>
      </c>
      <c r="BR43" s="244">
        <f t="shared" si="44"/>
        <v>0</v>
      </c>
      <c r="BS43" s="244">
        <f t="shared" si="44"/>
        <v>0</v>
      </c>
      <c r="BT43" s="244">
        <f t="shared" si="44"/>
        <v>0</v>
      </c>
      <c r="BU43" s="244">
        <f t="shared" si="44"/>
        <v>0</v>
      </c>
      <c r="BV43" s="244">
        <f t="shared" si="44"/>
        <v>0</v>
      </c>
      <c r="BW43" s="244">
        <f t="shared" si="44"/>
        <v>0</v>
      </c>
      <c r="BX43" s="244">
        <f t="shared" si="44"/>
        <v>0</v>
      </c>
      <c r="BY43" s="244">
        <f t="shared" si="44"/>
        <v>0</v>
      </c>
      <c r="BZ43" s="244">
        <f t="shared" si="44"/>
        <v>0</v>
      </c>
      <c r="CA43" s="244">
        <f t="shared" si="44"/>
        <v>0</v>
      </c>
      <c r="CB43" s="244">
        <f t="shared" si="44"/>
        <v>0</v>
      </c>
      <c r="CC43" s="244">
        <f t="shared" si="44"/>
        <v>0</v>
      </c>
      <c r="CD43" s="244">
        <f t="shared" si="44"/>
        <v>0</v>
      </c>
      <c r="CE43" s="244">
        <f t="shared" si="44"/>
        <v>0</v>
      </c>
      <c r="CF43" s="244">
        <f t="shared" si="44"/>
        <v>0</v>
      </c>
      <c r="CG43" s="244">
        <f t="shared" si="44"/>
        <v>0</v>
      </c>
      <c r="CH43" s="244">
        <f t="shared" si="44"/>
        <v>0</v>
      </c>
      <c r="CI43" s="244">
        <f t="shared" si="44"/>
        <v>0</v>
      </c>
      <c r="CJ43" s="244">
        <f t="shared" si="44"/>
        <v>0</v>
      </c>
      <c r="CK43" s="244">
        <f t="shared" si="44"/>
        <v>0</v>
      </c>
      <c r="CL43" s="244">
        <f t="shared" si="44"/>
        <v>0</v>
      </c>
      <c r="CM43" s="244">
        <f t="shared" si="44"/>
        <v>0</v>
      </c>
      <c r="CN43" s="244">
        <f t="shared" si="44"/>
        <v>0</v>
      </c>
      <c r="CO43" s="244">
        <f t="shared" si="44"/>
        <v>0</v>
      </c>
      <c r="CP43" s="244">
        <f t="shared" si="44"/>
        <v>0</v>
      </c>
      <c r="CQ43" s="244">
        <f t="shared" si="44"/>
        <v>0</v>
      </c>
      <c r="CR43" s="244">
        <f t="shared" si="44"/>
        <v>0</v>
      </c>
      <c r="CS43" s="244">
        <f t="shared" si="44"/>
        <v>0</v>
      </c>
      <c r="CT43" s="244">
        <f t="shared" si="44"/>
        <v>0</v>
      </c>
      <c r="CU43" s="244">
        <f t="shared" si="44"/>
        <v>0</v>
      </c>
      <c r="CV43" s="244">
        <f t="shared" si="44"/>
        <v>0</v>
      </c>
      <c r="CW43" s="244">
        <f t="shared" si="44"/>
        <v>0</v>
      </c>
      <c r="CX43" s="244">
        <f t="shared" si="44"/>
        <v>0</v>
      </c>
      <c r="CY43" s="244">
        <f t="shared" si="44"/>
        <v>0</v>
      </c>
      <c r="CZ43" s="244">
        <f t="shared" si="44"/>
        <v>0</v>
      </c>
      <c r="DA43" s="244">
        <f t="shared" si="44"/>
        <v>0</v>
      </c>
      <c r="DB43" s="244">
        <f t="shared" si="44"/>
        <v>0</v>
      </c>
      <c r="DC43" s="244">
        <f t="shared" si="44"/>
        <v>0</v>
      </c>
    </row>
    <row r="45" spans="2:107" ht="15" customHeight="1" x14ac:dyDescent="0.25">
      <c r="B45" s="779" t="s">
        <v>4465</v>
      </c>
      <c r="C45" s="779"/>
      <c r="D45" s="779"/>
      <c r="E45" s="779"/>
      <c r="F45" s="779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</row>
    <row r="46" spans="2:107" s="103" customFormat="1" ht="15" customHeight="1" x14ac:dyDescent="0.25">
      <c r="B46" s="515"/>
      <c r="C46" s="247"/>
      <c r="D46" s="247"/>
      <c r="E46" s="247"/>
      <c r="F46" s="245"/>
      <c r="G46" s="223" t="s">
        <v>76</v>
      </c>
      <c r="H46" s="224" t="s">
        <v>4352</v>
      </c>
      <c r="I46" s="224" t="s">
        <v>4353</v>
      </c>
      <c r="J46" s="224" t="s">
        <v>4354</v>
      </c>
      <c r="K46" s="224" t="s">
        <v>4355</v>
      </c>
      <c r="L46" s="224" t="s">
        <v>4356</v>
      </c>
      <c r="M46" s="224" t="s">
        <v>4357</v>
      </c>
      <c r="N46" s="224" t="s">
        <v>4358</v>
      </c>
      <c r="O46" s="224" t="s">
        <v>4359</v>
      </c>
      <c r="P46" s="224" t="s">
        <v>4360</v>
      </c>
      <c r="Q46" s="224" t="s">
        <v>4361</v>
      </c>
      <c r="R46" s="224" t="s">
        <v>4362</v>
      </c>
      <c r="S46" s="224" t="s">
        <v>4363</v>
      </c>
      <c r="T46" s="224" t="s">
        <v>4364</v>
      </c>
      <c r="U46" s="224" t="s">
        <v>4365</v>
      </c>
      <c r="V46" s="224" t="s">
        <v>4366</v>
      </c>
      <c r="W46" s="224" t="s">
        <v>4367</v>
      </c>
      <c r="X46" s="224" t="s">
        <v>4368</v>
      </c>
      <c r="Y46" s="224" t="s">
        <v>4369</v>
      </c>
      <c r="Z46" s="224" t="s">
        <v>4370</v>
      </c>
      <c r="AA46" s="224" t="s">
        <v>4371</v>
      </c>
      <c r="AB46" s="224" t="s">
        <v>4372</v>
      </c>
      <c r="AC46" s="224" t="s">
        <v>4373</v>
      </c>
      <c r="AD46" s="224" t="s">
        <v>4374</v>
      </c>
      <c r="AE46" s="224" t="s">
        <v>4375</v>
      </c>
      <c r="AF46" s="224" t="s">
        <v>4376</v>
      </c>
      <c r="AG46" s="224" t="s">
        <v>4377</v>
      </c>
      <c r="AH46" s="224" t="s">
        <v>4378</v>
      </c>
      <c r="AI46" s="224" t="s">
        <v>4379</v>
      </c>
      <c r="AJ46" s="224" t="s">
        <v>4380</v>
      </c>
      <c r="AK46" s="224" t="s">
        <v>4381</v>
      </c>
      <c r="AL46" s="224" t="s">
        <v>4382</v>
      </c>
      <c r="AM46" s="224" t="s">
        <v>4383</v>
      </c>
      <c r="AN46" s="224" t="s">
        <v>4384</v>
      </c>
      <c r="AO46" s="224" t="s">
        <v>4385</v>
      </c>
      <c r="AP46" s="224" t="s">
        <v>4386</v>
      </c>
      <c r="AQ46" s="224" t="s">
        <v>4387</v>
      </c>
      <c r="AR46" s="224" t="s">
        <v>4388</v>
      </c>
      <c r="AS46" s="224" t="s">
        <v>4389</v>
      </c>
      <c r="AT46" s="224" t="s">
        <v>4390</v>
      </c>
      <c r="AU46" s="224" t="s">
        <v>4391</v>
      </c>
      <c r="AV46" s="224" t="s">
        <v>4392</v>
      </c>
      <c r="AW46" s="224" t="s">
        <v>4393</v>
      </c>
      <c r="AX46" s="224" t="s">
        <v>4394</v>
      </c>
      <c r="AY46" s="224" t="s">
        <v>4395</v>
      </c>
      <c r="AZ46" s="224" t="s">
        <v>4396</v>
      </c>
      <c r="BA46" s="224" t="s">
        <v>4397</v>
      </c>
      <c r="BB46" s="224" t="s">
        <v>4398</v>
      </c>
      <c r="BC46" s="224" t="s">
        <v>4399</v>
      </c>
      <c r="BD46" s="224" t="s">
        <v>4400</v>
      </c>
      <c r="BE46" s="224" t="s">
        <v>4401</v>
      </c>
      <c r="BF46" s="224" t="s">
        <v>4402</v>
      </c>
      <c r="BG46" s="224" t="s">
        <v>4403</v>
      </c>
      <c r="BH46" s="224" t="s">
        <v>4404</v>
      </c>
      <c r="BI46" s="224" t="s">
        <v>4405</v>
      </c>
      <c r="BJ46" s="224" t="s">
        <v>4406</v>
      </c>
      <c r="BK46" s="224" t="s">
        <v>4407</v>
      </c>
      <c r="BL46" s="224" t="s">
        <v>4408</v>
      </c>
      <c r="BM46" s="224" t="s">
        <v>4409</v>
      </c>
      <c r="BN46" s="224" t="s">
        <v>4410</v>
      </c>
      <c r="BO46" s="224" t="s">
        <v>4411</v>
      </c>
      <c r="BP46" s="224" t="s">
        <v>4412</v>
      </c>
      <c r="BQ46" s="224" t="s">
        <v>4413</v>
      </c>
      <c r="BR46" s="224" t="s">
        <v>4414</v>
      </c>
      <c r="BS46" s="224" t="s">
        <v>4415</v>
      </c>
      <c r="BT46" s="224" t="s">
        <v>4416</v>
      </c>
      <c r="BU46" s="224" t="s">
        <v>4417</v>
      </c>
      <c r="BV46" s="224" t="s">
        <v>4418</v>
      </c>
      <c r="BW46" s="224" t="s">
        <v>4419</v>
      </c>
      <c r="BX46" s="224" t="s">
        <v>4420</v>
      </c>
      <c r="BY46" s="224" t="s">
        <v>4421</v>
      </c>
      <c r="BZ46" s="224" t="s">
        <v>4422</v>
      </c>
      <c r="CA46" s="224" t="s">
        <v>4423</v>
      </c>
      <c r="CB46" s="224" t="s">
        <v>4424</v>
      </c>
      <c r="CC46" s="224" t="s">
        <v>4425</v>
      </c>
      <c r="CD46" s="224" t="s">
        <v>4426</v>
      </c>
      <c r="CE46" s="224" t="s">
        <v>4427</v>
      </c>
      <c r="CF46" s="224" t="s">
        <v>4428</v>
      </c>
      <c r="CG46" s="224" t="s">
        <v>4429</v>
      </c>
      <c r="CH46" s="224" t="s">
        <v>4430</v>
      </c>
      <c r="CI46" s="224" t="s">
        <v>4431</v>
      </c>
      <c r="CJ46" s="224" t="s">
        <v>4432</v>
      </c>
      <c r="CK46" s="224" t="s">
        <v>4433</v>
      </c>
      <c r="CL46" s="224" t="s">
        <v>4434</v>
      </c>
      <c r="CM46" s="224" t="s">
        <v>4435</v>
      </c>
      <c r="CN46" s="224" t="s">
        <v>4436</v>
      </c>
      <c r="CO46" s="224" t="s">
        <v>4437</v>
      </c>
      <c r="CP46" s="224" t="s">
        <v>4438</v>
      </c>
      <c r="CQ46" s="224" t="s">
        <v>4439</v>
      </c>
      <c r="CR46" s="224" t="s">
        <v>4440</v>
      </c>
      <c r="CS46" s="224" t="s">
        <v>4441</v>
      </c>
      <c r="CT46" s="224" t="s">
        <v>4442</v>
      </c>
      <c r="CU46" s="224" t="s">
        <v>4443</v>
      </c>
      <c r="CV46" s="224" t="s">
        <v>4444</v>
      </c>
      <c r="CW46" s="224" t="s">
        <v>4445</v>
      </c>
      <c r="CX46" s="224" t="s">
        <v>4446</v>
      </c>
      <c r="CY46" s="224" t="s">
        <v>4447</v>
      </c>
      <c r="CZ46" s="224" t="s">
        <v>4448</v>
      </c>
      <c r="DA46" s="224" t="s">
        <v>4449</v>
      </c>
      <c r="DB46" s="224" t="s">
        <v>4450</v>
      </c>
      <c r="DC46" s="224" t="s">
        <v>4451</v>
      </c>
    </row>
    <row r="47" spans="2:107" ht="15" customHeight="1" x14ac:dyDescent="0.25">
      <c r="B47" s="515">
        <v>24</v>
      </c>
      <c r="C47" s="248" t="s">
        <v>3901</v>
      </c>
      <c r="D47" s="248"/>
      <c r="E47" s="557" t="s">
        <v>3857</v>
      </c>
      <c r="F47" s="232" t="s">
        <v>4243</v>
      </c>
      <c r="G47" s="243">
        <f>SUM(H47:DC47)</f>
        <v>0</v>
      </c>
      <c r="H47" s="241">
        <f t="shared" ref="H47:AM47" si="45">H22-H43</f>
        <v>0</v>
      </c>
      <c r="I47" s="241">
        <f t="shared" si="45"/>
        <v>0</v>
      </c>
      <c r="J47" s="241">
        <f t="shared" si="45"/>
        <v>0</v>
      </c>
      <c r="K47" s="241">
        <f t="shared" si="45"/>
        <v>0</v>
      </c>
      <c r="L47" s="241">
        <f t="shared" si="45"/>
        <v>0</v>
      </c>
      <c r="M47" s="241">
        <f t="shared" si="45"/>
        <v>0</v>
      </c>
      <c r="N47" s="241">
        <f t="shared" si="45"/>
        <v>0</v>
      </c>
      <c r="O47" s="241">
        <f t="shared" si="45"/>
        <v>0</v>
      </c>
      <c r="P47" s="241">
        <f t="shared" si="45"/>
        <v>0</v>
      </c>
      <c r="Q47" s="241">
        <f t="shared" si="45"/>
        <v>0</v>
      </c>
      <c r="R47" s="241">
        <f t="shared" si="45"/>
        <v>0</v>
      </c>
      <c r="S47" s="241">
        <f t="shared" si="45"/>
        <v>0</v>
      </c>
      <c r="T47" s="241">
        <f t="shared" si="45"/>
        <v>0</v>
      </c>
      <c r="U47" s="241">
        <f t="shared" si="45"/>
        <v>0</v>
      </c>
      <c r="V47" s="241">
        <f t="shared" si="45"/>
        <v>0</v>
      </c>
      <c r="W47" s="241">
        <f t="shared" si="45"/>
        <v>0</v>
      </c>
      <c r="X47" s="241">
        <f t="shared" si="45"/>
        <v>0</v>
      </c>
      <c r="Y47" s="241">
        <f t="shared" si="45"/>
        <v>0</v>
      </c>
      <c r="Z47" s="241">
        <f t="shared" si="45"/>
        <v>0</v>
      </c>
      <c r="AA47" s="241">
        <f t="shared" si="45"/>
        <v>0</v>
      </c>
      <c r="AB47" s="241">
        <f t="shared" si="45"/>
        <v>0</v>
      </c>
      <c r="AC47" s="241">
        <f t="shared" si="45"/>
        <v>0</v>
      </c>
      <c r="AD47" s="241">
        <f t="shared" si="45"/>
        <v>0</v>
      </c>
      <c r="AE47" s="241">
        <f t="shared" si="45"/>
        <v>0</v>
      </c>
      <c r="AF47" s="241">
        <f t="shared" si="45"/>
        <v>0</v>
      </c>
      <c r="AG47" s="241">
        <f t="shared" si="45"/>
        <v>0</v>
      </c>
      <c r="AH47" s="241">
        <f t="shared" si="45"/>
        <v>0</v>
      </c>
      <c r="AI47" s="241">
        <f t="shared" si="45"/>
        <v>0</v>
      </c>
      <c r="AJ47" s="241">
        <f t="shared" si="45"/>
        <v>0</v>
      </c>
      <c r="AK47" s="241">
        <f t="shared" si="45"/>
        <v>0</v>
      </c>
      <c r="AL47" s="241">
        <f t="shared" si="45"/>
        <v>0</v>
      </c>
      <c r="AM47" s="241">
        <f t="shared" si="45"/>
        <v>0</v>
      </c>
      <c r="AN47" s="241">
        <f t="shared" ref="AN47:BS47" si="46">AN22-AN43</f>
        <v>0</v>
      </c>
      <c r="AO47" s="241">
        <f t="shared" si="46"/>
        <v>0</v>
      </c>
      <c r="AP47" s="241">
        <f t="shared" si="46"/>
        <v>0</v>
      </c>
      <c r="AQ47" s="241">
        <f t="shared" si="46"/>
        <v>0</v>
      </c>
      <c r="AR47" s="241">
        <f t="shared" si="46"/>
        <v>0</v>
      </c>
      <c r="AS47" s="241">
        <f t="shared" si="46"/>
        <v>0</v>
      </c>
      <c r="AT47" s="241">
        <f t="shared" si="46"/>
        <v>0</v>
      </c>
      <c r="AU47" s="241">
        <f t="shared" si="46"/>
        <v>0</v>
      </c>
      <c r="AV47" s="241">
        <f t="shared" si="46"/>
        <v>0</v>
      </c>
      <c r="AW47" s="241">
        <f t="shared" si="46"/>
        <v>0</v>
      </c>
      <c r="AX47" s="241">
        <f t="shared" si="46"/>
        <v>0</v>
      </c>
      <c r="AY47" s="241">
        <f t="shared" si="46"/>
        <v>0</v>
      </c>
      <c r="AZ47" s="241">
        <f t="shared" si="46"/>
        <v>0</v>
      </c>
      <c r="BA47" s="241">
        <f t="shared" si="46"/>
        <v>0</v>
      </c>
      <c r="BB47" s="241">
        <f t="shared" si="46"/>
        <v>0</v>
      </c>
      <c r="BC47" s="241">
        <f t="shared" si="46"/>
        <v>0</v>
      </c>
      <c r="BD47" s="241">
        <f t="shared" si="46"/>
        <v>0</v>
      </c>
      <c r="BE47" s="241">
        <f t="shared" si="46"/>
        <v>0</v>
      </c>
      <c r="BF47" s="241">
        <f t="shared" si="46"/>
        <v>0</v>
      </c>
      <c r="BG47" s="241">
        <f t="shared" si="46"/>
        <v>0</v>
      </c>
      <c r="BH47" s="241">
        <f t="shared" si="46"/>
        <v>0</v>
      </c>
      <c r="BI47" s="241">
        <f t="shared" si="46"/>
        <v>0</v>
      </c>
      <c r="BJ47" s="241">
        <f t="shared" si="46"/>
        <v>0</v>
      </c>
      <c r="BK47" s="241">
        <f t="shared" si="46"/>
        <v>0</v>
      </c>
      <c r="BL47" s="241">
        <f t="shared" si="46"/>
        <v>0</v>
      </c>
      <c r="BM47" s="241">
        <f t="shared" si="46"/>
        <v>0</v>
      </c>
      <c r="BN47" s="241">
        <f t="shared" si="46"/>
        <v>0</v>
      </c>
      <c r="BO47" s="241">
        <f t="shared" si="46"/>
        <v>0</v>
      </c>
      <c r="BP47" s="241">
        <f t="shared" si="46"/>
        <v>0</v>
      </c>
      <c r="BQ47" s="241">
        <f t="shared" si="46"/>
        <v>0</v>
      </c>
      <c r="BR47" s="241">
        <f t="shared" si="46"/>
        <v>0</v>
      </c>
      <c r="BS47" s="241">
        <f t="shared" si="46"/>
        <v>0</v>
      </c>
      <c r="BT47" s="241">
        <f t="shared" ref="BT47:DC47" si="47">BT22-BT43</f>
        <v>0</v>
      </c>
      <c r="BU47" s="241">
        <f t="shared" si="47"/>
        <v>0</v>
      </c>
      <c r="BV47" s="241">
        <f t="shared" si="47"/>
        <v>0</v>
      </c>
      <c r="BW47" s="241">
        <f t="shared" si="47"/>
        <v>0</v>
      </c>
      <c r="BX47" s="241">
        <f t="shared" si="47"/>
        <v>0</v>
      </c>
      <c r="BY47" s="241">
        <f t="shared" si="47"/>
        <v>0</v>
      </c>
      <c r="BZ47" s="241">
        <f t="shared" si="47"/>
        <v>0</v>
      </c>
      <c r="CA47" s="241">
        <f t="shared" si="47"/>
        <v>0</v>
      </c>
      <c r="CB47" s="241">
        <f t="shared" si="47"/>
        <v>0</v>
      </c>
      <c r="CC47" s="241">
        <f t="shared" si="47"/>
        <v>0</v>
      </c>
      <c r="CD47" s="241">
        <f t="shared" si="47"/>
        <v>0</v>
      </c>
      <c r="CE47" s="241">
        <f t="shared" si="47"/>
        <v>0</v>
      </c>
      <c r="CF47" s="241">
        <f t="shared" si="47"/>
        <v>0</v>
      </c>
      <c r="CG47" s="241">
        <f t="shared" si="47"/>
        <v>0</v>
      </c>
      <c r="CH47" s="241">
        <f t="shared" si="47"/>
        <v>0</v>
      </c>
      <c r="CI47" s="241">
        <f t="shared" si="47"/>
        <v>0</v>
      </c>
      <c r="CJ47" s="241">
        <f t="shared" si="47"/>
        <v>0</v>
      </c>
      <c r="CK47" s="241">
        <f t="shared" si="47"/>
        <v>0</v>
      </c>
      <c r="CL47" s="241">
        <f t="shared" si="47"/>
        <v>0</v>
      </c>
      <c r="CM47" s="241">
        <f t="shared" si="47"/>
        <v>0</v>
      </c>
      <c r="CN47" s="241">
        <f t="shared" si="47"/>
        <v>0</v>
      </c>
      <c r="CO47" s="241">
        <f t="shared" si="47"/>
        <v>0</v>
      </c>
      <c r="CP47" s="241">
        <f t="shared" si="47"/>
        <v>0</v>
      </c>
      <c r="CQ47" s="241">
        <f t="shared" si="47"/>
        <v>0</v>
      </c>
      <c r="CR47" s="241">
        <f t="shared" si="47"/>
        <v>0</v>
      </c>
      <c r="CS47" s="241">
        <f t="shared" si="47"/>
        <v>0</v>
      </c>
      <c r="CT47" s="241">
        <f t="shared" si="47"/>
        <v>0</v>
      </c>
      <c r="CU47" s="241">
        <f t="shared" si="47"/>
        <v>0</v>
      </c>
      <c r="CV47" s="241">
        <f t="shared" si="47"/>
        <v>0</v>
      </c>
      <c r="CW47" s="241">
        <f t="shared" si="47"/>
        <v>0</v>
      </c>
      <c r="CX47" s="241">
        <f t="shared" si="47"/>
        <v>0</v>
      </c>
      <c r="CY47" s="241">
        <f t="shared" si="47"/>
        <v>0</v>
      </c>
      <c r="CZ47" s="241">
        <f t="shared" si="47"/>
        <v>0</v>
      </c>
      <c r="DA47" s="241">
        <f t="shared" si="47"/>
        <v>0</v>
      </c>
      <c r="DB47" s="241">
        <f t="shared" si="47"/>
        <v>0</v>
      </c>
      <c r="DC47" s="241">
        <f t="shared" si="47"/>
        <v>0</v>
      </c>
    </row>
    <row r="48" spans="2:107" ht="15" customHeight="1" x14ac:dyDescent="0.25">
      <c r="B48" s="515">
        <v>25</v>
      </c>
      <c r="C48" s="249" t="s">
        <v>4244</v>
      </c>
      <c r="D48" s="250">
        <f>'Escolha tarifa'!F17</f>
        <v>0</v>
      </c>
      <c r="E48" s="558" t="s">
        <v>3912</v>
      </c>
      <c r="F48" s="232" t="s">
        <v>4245</v>
      </c>
      <c r="G48" s="251">
        <f t="shared" ref="G48:AL48" si="48">IF(G22=0,0,G47/G22)</f>
        <v>0</v>
      </c>
      <c r="H48" s="252">
        <f t="shared" si="48"/>
        <v>0</v>
      </c>
      <c r="I48" s="252">
        <f t="shared" si="48"/>
        <v>0</v>
      </c>
      <c r="J48" s="252">
        <f t="shared" si="48"/>
        <v>0</v>
      </c>
      <c r="K48" s="252">
        <f t="shared" si="48"/>
        <v>0</v>
      </c>
      <c r="L48" s="252">
        <f t="shared" si="48"/>
        <v>0</v>
      </c>
      <c r="M48" s="252">
        <f t="shared" si="48"/>
        <v>0</v>
      </c>
      <c r="N48" s="252">
        <f t="shared" si="48"/>
        <v>0</v>
      </c>
      <c r="O48" s="252">
        <f t="shared" si="48"/>
        <v>0</v>
      </c>
      <c r="P48" s="252">
        <f t="shared" si="48"/>
        <v>0</v>
      </c>
      <c r="Q48" s="252">
        <f t="shared" si="48"/>
        <v>0</v>
      </c>
      <c r="R48" s="252">
        <f t="shared" si="48"/>
        <v>0</v>
      </c>
      <c r="S48" s="252">
        <f t="shared" si="48"/>
        <v>0</v>
      </c>
      <c r="T48" s="252">
        <f t="shared" si="48"/>
        <v>0</v>
      </c>
      <c r="U48" s="252">
        <f t="shared" si="48"/>
        <v>0</v>
      </c>
      <c r="V48" s="252">
        <f t="shared" si="48"/>
        <v>0</v>
      </c>
      <c r="W48" s="252">
        <f t="shared" si="48"/>
        <v>0</v>
      </c>
      <c r="X48" s="252">
        <f t="shared" si="48"/>
        <v>0</v>
      </c>
      <c r="Y48" s="252">
        <f t="shared" si="48"/>
        <v>0</v>
      </c>
      <c r="Z48" s="252">
        <f t="shared" si="48"/>
        <v>0</v>
      </c>
      <c r="AA48" s="252">
        <f t="shared" si="48"/>
        <v>0</v>
      </c>
      <c r="AB48" s="252">
        <f t="shared" si="48"/>
        <v>0</v>
      </c>
      <c r="AC48" s="252">
        <f t="shared" si="48"/>
        <v>0</v>
      </c>
      <c r="AD48" s="252">
        <f t="shared" si="48"/>
        <v>0</v>
      </c>
      <c r="AE48" s="252">
        <f t="shared" si="48"/>
        <v>0</v>
      </c>
      <c r="AF48" s="252">
        <f t="shared" si="48"/>
        <v>0</v>
      </c>
      <c r="AG48" s="252">
        <f t="shared" si="48"/>
        <v>0</v>
      </c>
      <c r="AH48" s="252">
        <f t="shared" si="48"/>
        <v>0</v>
      </c>
      <c r="AI48" s="252">
        <f t="shared" si="48"/>
        <v>0</v>
      </c>
      <c r="AJ48" s="252">
        <f t="shared" si="48"/>
        <v>0</v>
      </c>
      <c r="AK48" s="252">
        <f t="shared" si="48"/>
        <v>0</v>
      </c>
      <c r="AL48" s="252">
        <f t="shared" si="48"/>
        <v>0</v>
      </c>
      <c r="AM48" s="252">
        <f t="shared" ref="AM48:BR48" si="49">IF(AM22=0,0,AM47/AM22)</f>
        <v>0</v>
      </c>
      <c r="AN48" s="252">
        <f t="shared" si="49"/>
        <v>0</v>
      </c>
      <c r="AO48" s="252">
        <f t="shared" si="49"/>
        <v>0</v>
      </c>
      <c r="AP48" s="252">
        <f t="shared" si="49"/>
        <v>0</v>
      </c>
      <c r="AQ48" s="252">
        <f t="shared" si="49"/>
        <v>0</v>
      </c>
      <c r="AR48" s="252">
        <f t="shared" si="49"/>
        <v>0</v>
      </c>
      <c r="AS48" s="252">
        <f t="shared" si="49"/>
        <v>0</v>
      </c>
      <c r="AT48" s="252">
        <f t="shared" si="49"/>
        <v>0</v>
      </c>
      <c r="AU48" s="252">
        <f t="shared" si="49"/>
        <v>0</v>
      </c>
      <c r="AV48" s="252">
        <f t="shared" si="49"/>
        <v>0</v>
      </c>
      <c r="AW48" s="252">
        <f t="shared" si="49"/>
        <v>0</v>
      </c>
      <c r="AX48" s="252">
        <f t="shared" si="49"/>
        <v>0</v>
      </c>
      <c r="AY48" s="252">
        <f t="shared" si="49"/>
        <v>0</v>
      </c>
      <c r="AZ48" s="252">
        <f t="shared" si="49"/>
        <v>0</v>
      </c>
      <c r="BA48" s="252">
        <f t="shared" si="49"/>
        <v>0</v>
      </c>
      <c r="BB48" s="252">
        <f t="shared" si="49"/>
        <v>0</v>
      </c>
      <c r="BC48" s="252">
        <f t="shared" si="49"/>
        <v>0</v>
      </c>
      <c r="BD48" s="252">
        <f t="shared" si="49"/>
        <v>0</v>
      </c>
      <c r="BE48" s="252">
        <f t="shared" si="49"/>
        <v>0</v>
      </c>
      <c r="BF48" s="252">
        <f t="shared" si="49"/>
        <v>0</v>
      </c>
      <c r="BG48" s="252">
        <f t="shared" si="49"/>
        <v>0</v>
      </c>
      <c r="BH48" s="252">
        <f t="shared" si="49"/>
        <v>0</v>
      </c>
      <c r="BI48" s="252">
        <f t="shared" si="49"/>
        <v>0</v>
      </c>
      <c r="BJ48" s="252">
        <f t="shared" si="49"/>
        <v>0</v>
      </c>
      <c r="BK48" s="252">
        <f t="shared" si="49"/>
        <v>0</v>
      </c>
      <c r="BL48" s="252">
        <f t="shared" si="49"/>
        <v>0</v>
      </c>
      <c r="BM48" s="252">
        <f t="shared" si="49"/>
        <v>0</v>
      </c>
      <c r="BN48" s="252">
        <f t="shared" si="49"/>
        <v>0</v>
      </c>
      <c r="BO48" s="252">
        <f t="shared" si="49"/>
        <v>0</v>
      </c>
      <c r="BP48" s="252">
        <f t="shared" si="49"/>
        <v>0</v>
      </c>
      <c r="BQ48" s="252">
        <f t="shared" si="49"/>
        <v>0</v>
      </c>
      <c r="BR48" s="252">
        <f t="shared" si="49"/>
        <v>0</v>
      </c>
      <c r="BS48" s="252">
        <f t="shared" ref="BS48:CX48" si="50">IF(BS22=0,0,BS47/BS22)</f>
        <v>0</v>
      </c>
      <c r="BT48" s="252">
        <f t="shared" si="50"/>
        <v>0</v>
      </c>
      <c r="BU48" s="252">
        <f t="shared" si="50"/>
        <v>0</v>
      </c>
      <c r="BV48" s="252">
        <f t="shared" si="50"/>
        <v>0</v>
      </c>
      <c r="BW48" s="252">
        <f t="shared" si="50"/>
        <v>0</v>
      </c>
      <c r="BX48" s="252">
        <f t="shared" si="50"/>
        <v>0</v>
      </c>
      <c r="BY48" s="252">
        <f t="shared" si="50"/>
        <v>0</v>
      </c>
      <c r="BZ48" s="252">
        <f t="shared" si="50"/>
        <v>0</v>
      </c>
      <c r="CA48" s="252">
        <f t="shared" si="50"/>
        <v>0</v>
      </c>
      <c r="CB48" s="252">
        <f t="shared" si="50"/>
        <v>0</v>
      </c>
      <c r="CC48" s="252">
        <f t="shared" si="50"/>
        <v>0</v>
      </c>
      <c r="CD48" s="252">
        <f t="shared" si="50"/>
        <v>0</v>
      </c>
      <c r="CE48" s="252">
        <f t="shared" si="50"/>
        <v>0</v>
      </c>
      <c r="CF48" s="252">
        <f t="shared" si="50"/>
        <v>0</v>
      </c>
      <c r="CG48" s="252">
        <f t="shared" si="50"/>
        <v>0</v>
      </c>
      <c r="CH48" s="252">
        <f t="shared" si="50"/>
        <v>0</v>
      </c>
      <c r="CI48" s="252">
        <f t="shared" si="50"/>
        <v>0</v>
      </c>
      <c r="CJ48" s="252">
        <f t="shared" si="50"/>
        <v>0</v>
      </c>
      <c r="CK48" s="252">
        <f t="shared" si="50"/>
        <v>0</v>
      </c>
      <c r="CL48" s="252">
        <f t="shared" si="50"/>
        <v>0</v>
      </c>
      <c r="CM48" s="252">
        <f t="shared" si="50"/>
        <v>0</v>
      </c>
      <c r="CN48" s="252">
        <f t="shared" si="50"/>
        <v>0</v>
      </c>
      <c r="CO48" s="252">
        <f t="shared" si="50"/>
        <v>0</v>
      </c>
      <c r="CP48" s="252">
        <f t="shared" si="50"/>
        <v>0</v>
      </c>
      <c r="CQ48" s="252">
        <f t="shared" si="50"/>
        <v>0</v>
      </c>
      <c r="CR48" s="252">
        <f t="shared" si="50"/>
        <v>0</v>
      </c>
      <c r="CS48" s="252">
        <f t="shared" si="50"/>
        <v>0</v>
      </c>
      <c r="CT48" s="252">
        <f t="shared" si="50"/>
        <v>0</v>
      </c>
      <c r="CU48" s="252">
        <f t="shared" si="50"/>
        <v>0</v>
      </c>
      <c r="CV48" s="252">
        <f t="shared" si="50"/>
        <v>0</v>
      </c>
      <c r="CW48" s="252">
        <f t="shared" si="50"/>
        <v>0</v>
      </c>
      <c r="CX48" s="252">
        <f t="shared" si="50"/>
        <v>0</v>
      </c>
      <c r="CY48" s="252">
        <f>IF(CY22=0,0,CY47/CY22)</f>
        <v>0</v>
      </c>
      <c r="CZ48" s="252">
        <f>IF(CZ22=0,0,CZ47/CZ22)</f>
        <v>0</v>
      </c>
      <c r="DA48" s="252">
        <f>IF(DA22=0,0,DA47/DA22)</f>
        <v>0</v>
      </c>
      <c r="DB48" s="252">
        <f>IF(DB22=0,0,DB47/DB22)</f>
        <v>0</v>
      </c>
      <c r="DC48" s="252">
        <f>IF(DC22=0,0,DC47/DC22)</f>
        <v>0</v>
      </c>
    </row>
    <row r="49" spans="2:107" ht="15" customHeight="1" x14ac:dyDescent="0.25">
      <c r="B49" s="515">
        <v>26</v>
      </c>
      <c r="C49" s="248" t="s">
        <v>3900</v>
      </c>
      <c r="D49" s="248"/>
      <c r="E49" s="557" t="s">
        <v>3854</v>
      </c>
      <c r="F49" s="232" t="s">
        <v>4246</v>
      </c>
      <c r="G49" s="243">
        <f>SUM(H49:DC49)</f>
        <v>0</v>
      </c>
      <c r="H49" s="241">
        <f t="shared" ref="H49:AM49" si="51">H21-H42</f>
        <v>0</v>
      </c>
      <c r="I49" s="241">
        <f t="shared" si="51"/>
        <v>0</v>
      </c>
      <c r="J49" s="241">
        <f t="shared" si="51"/>
        <v>0</v>
      </c>
      <c r="K49" s="241">
        <f t="shared" si="51"/>
        <v>0</v>
      </c>
      <c r="L49" s="241">
        <f t="shared" si="51"/>
        <v>0</v>
      </c>
      <c r="M49" s="241">
        <f t="shared" si="51"/>
        <v>0</v>
      </c>
      <c r="N49" s="241">
        <f t="shared" si="51"/>
        <v>0</v>
      </c>
      <c r="O49" s="241">
        <f t="shared" si="51"/>
        <v>0</v>
      </c>
      <c r="P49" s="241">
        <f t="shared" si="51"/>
        <v>0</v>
      </c>
      <c r="Q49" s="241">
        <f t="shared" si="51"/>
        <v>0</v>
      </c>
      <c r="R49" s="241">
        <f t="shared" si="51"/>
        <v>0</v>
      </c>
      <c r="S49" s="241">
        <f t="shared" si="51"/>
        <v>0</v>
      </c>
      <c r="T49" s="241">
        <f t="shared" si="51"/>
        <v>0</v>
      </c>
      <c r="U49" s="241">
        <f t="shared" si="51"/>
        <v>0</v>
      </c>
      <c r="V49" s="241">
        <f t="shared" si="51"/>
        <v>0</v>
      </c>
      <c r="W49" s="241">
        <f t="shared" si="51"/>
        <v>0</v>
      </c>
      <c r="X49" s="241">
        <f t="shared" si="51"/>
        <v>0</v>
      </c>
      <c r="Y49" s="241">
        <f t="shared" si="51"/>
        <v>0</v>
      </c>
      <c r="Z49" s="241">
        <f t="shared" si="51"/>
        <v>0</v>
      </c>
      <c r="AA49" s="241">
        <f t="shared" si="51"/>
        <v>0</v>
      </c>
      <c r="AB49" s="241">
        <f t="shared" si="51"/>
        <v>0</v>
      </c>
      <c r="AC49" s="241">
        <f t="shared" si="51"/>
        <v>0</v>
      </c>
      <c r="AD49" s="241">
        <f t="shared" si="51"/>
        <v>0</v>
      </c>
      <c r="AE49" s="241">
        <f t="shared" si="51"/>
        <v>0</v>
      </c>
      <c r="AF49" s="241">
        <f t="shared" si="51"/>
        <v>0</v>
      </c>
      <c r="AG49" s="241">
        <f t="shared" si="51"/>
        <v>0</v>
      </c>
      <c r="AH49" s="241">
        <f t="shared" si="51"/>
        <v>0</v>
      </c>
      <c r="AI49" s="241">
        <f t="shared" si="51"/>
        <v>0</v>
      </c>
      <c r="AJ49" s="241">
        <f t="shared" si="51"/>
        <v>0</v>
      </c>
      <c r="AK49" s="241">
        <f t="shared" si="51"/>
        <v>0</v>
      </c>
      <c r="AL49" s="241">
        <f t="shared" si="51"/>
        <v>0</v>
      </c>
      <c r="AM49" s="241">
        <f t="shared" si="51"/>
        <v>0</v>
      </c>
      <c r="AN49" s="241">
        <f t="shared" ref="AN49:BS49" si="52">AN21-AN42</f>
        <v>0</v>
      </c>
      <c r="AO49" s="241">
        <f t="shared" si="52"/>
        <v>0</v>
      </c>
      <c r="AP49" s="241">
        <f t="shared" si="52"/>
        <v>0</v>
      </c>
      <c r="AQ49" s="241">
        <f t="shared" si="52"/>
        <v>0</v>
      </c>
      <c r="AR49" s="241">
        <f t="shared" si="52"/>
        <v>0</v>
      </c>
      <c r="AS49" s="241">
        <f t="shared" si="52"/>
        <v>0</v>
      </c>
      <c r="AT49" s="241">
        <f t="shared" si="52"/>
        <v>0</v>
      </c>
      <c r="AU49" s="241">
        <f t="shared" si="52"/>
        <v>0</v>
      </c>
      <c r="AV49" s="241">
        <f t="shared" si="52"/>
        <v>0</v>
      </c>
      <c r="AW49" s="241">
        <f t="shared" si="52"/>
        <v>0</v>
      </c>
      <c r="AX49" s="241">
        <f t="shared" si="52"/>
        <v>0</v>
      </c>
      <c r="AY49" s="241">
        <f t="shared" si="52"/>
        <v>0</v>
      </c>
      <c r="AZ49" s="241">
        <f t="shared" si="52"/>
        <v>0</v>
      </c>
      <c r="BA49" s="241">
        <f t="shared" si="52"/>
        <v>0</v>
      </c>
      <c r="BB49" s="241">
        <f t="shared" si="52"/>
        <v>0</v>
      </c>
      <c r="BC49" s="241">
        <f t="shared" si="52"/>
        <v>0</v>
      </c>
      <c r="BD49" s="241">
        <f t="shared" si="52"/>
        <v>0</v>
      </c>
      <c r="BE49" s="241">
        <f t="shared" si="52"/>
        <v>0</v>
      </c>
      <c r="BF49" s="241">
        <f t="shared" si="52"/>
        <v>0</v>
      </c>
      <c r="BG49" s="241">
        <f t="shared" si="52"/>
        <v>0</v>
      </c>
      <c r="BH49" s="241">
        <f t="shared" si="52"/>
        <v>0</v>
      </c>
      <c r="BI49" s="241">
        <f t="shared" si="52"/>
        <v>0</v>
      </c>
      <c r="BJ49" s="241">
        <f t="shared" si="52"/>
        <v>0</v>
      </c>
      <c r="BK49" s="241">
        <f t="shared" si="52"/>
        <v>0</v>
      </c>
      <c r="BL49" s="241">
        <f t="shared" si="52"/>
        <v>0</v>
      </c>
      <c r="BM49" s="241">
        <f t="shared" si="52"/>
        <v>0</v>
      </c>
      <c r="BN49" s="241">
        <f t="shared" si="52"/>
        <v>0</v>
      </c>
      <c r="BO49" s="241">
        <f t="shared" si="52"/>
        <v>0</v>
      </c>
      <c r="BP49" s="241">
        <f t="shared" si="52"/>
        <v>0</v>
      </c>
      <c r="BQ49" s="241">
        <f t="shared" si="52"/>
        <v>0</v>
      </c>
      <c r="BR49" s="241">
        <f t="shared" si="52"/>
        <v>0</v>
      </c>
      <c r="BS49" s="241">
        <f t="shared" si="52"/>
        <v>0</v>
      </c>
      <c r="BT49" s="241">
        <f t="shared" ref="BT49:DC49" si="53">BT21-BT42</f>
        <v>0</v>
      </c>
      <c r="BU49" s="241">
        <f t="shared" si="53"/>
        <v>0</v>
      </c>
      <c r="BV49" s="241">
        <f t="shared" si="53"/>
        <v>0</v>
      </c>
      <c r="BW49" s="241">
        <f t="shared" si="53"/>
        <v>0</v>
      </c>
      <c r="BX49" s="241">
        <f t="shared" si="53"/>
        <v>0</v>
      </c>
      <c r="BY49" s="241">
        <f t="shared" si="53"/>
        <v>0</v>
      </c>
      <c r="BZ49" s="241">
        <f t="shared" si="53"/>
        <v>0</v>
      </c>
      <c r="CA49" s="241">
        <f t="shared" si="53"/>
        <v>0</v>
      </c>
      <c r="CB49" s="241">
        <f t="shared" si="53"/>
        <v>0</v>
      </c>
      <c r="CC49" s="241">
        <f t="shared" si="53"/>
        <v>0</v>
      </c>
      <c r="CD49" s="241">
        <f t="shared" si="53"/>
        <v>0</v>
      </c>
      <c r="CE49" s="241">
        <f t="shared" si="53"/>
        <v>0</v>
      </c>
      <c r="CF49" s="241">
        <f t="shared" si="53"/>
        <v>0</v>
      </c>
      <c r="CG49" s="241">
        <f t="shared" si="53"/>
        <v>0</v>
      </c>
      <c r="CH49" s="241">
        <f t="shared" si="53"/>
        <v>0</v>
      </c>
      <c r="CI49" s="241">
        <f t="shared" si="53"/>
        <v>0</v>
      </c>
      <c r="CJ49" s="241">
        <f t="shared" si="53"/>
        <v>0</v>
      </c>
      <c r="CK49" s="241">
        <f t="shared" si="53"/>
        <v>0</v>
      </c>
      <c r="CL49" s="241">
        <f t="shared" si="53"/>
        <v>0</v>
      </c>
      <c r="CM49" s="241">
        <f t="shared" si="53"/>
        <v>0</v>
      </c>
      <c r="CN49" s="241">
        <f t="shared" si="53"/>
        <v>0</v>
      </c>
      <c r="CO49" s="241">
        <f t="shared" si="53"/>
        <v>0</v>
      </c>
      <c r="CP49" s="241">
        <f t="shared" si="53"/>
        <v>0</v>
      </c>
      <c r="CQ49" s="241">
        <f t="shared" si="53"/>
        <v>0</v>
      </c>
      <c r="CR49" s="241">
        <f t="shared" si="53"/>
        <v>0</v>
      </c>
      <c r="CS49" s="241">
        <f t="shared" si="53"/>
        <v>0</v>
      </c>
      <c r="CT49" s="241">
        <f t="shared" si="53"/>
        <v>0</v>
      </c>
      <c r="CU49" s="241">
        <f t="shared" si="53"/>
        <v>0</v>
      </c>
      <c r="CV49" s="241">
        <f t="shared" si="53"/>
        <v>0</v>
      </c>
      <c r="CW49" s="241">
        <f t="shared" si="53"/>
        <v>0</v>
      </c>
      <c r="CX49" s="241">
        <f t="shared" si="53"/>
        <v>0</v>
      </c>
      <c r="CY49" s="241">
        <f t="shared" si="53"/>
        <v>0</v>
      </c>
      <c r="CZ49" s="241">
        <f t="shared" si="53"/>
        <v>0</v>
      </c>
      <c r="DA49" s="241">
        <f t="shared" si="53"/>
        <v>0</v>
      </c>
      <c r="DB49" s="241">
        <f t="shared" si="53"/>
        <v>0</v>
      </c>
      <c r="DC49" s="241">
        <f t="shared" si="53"/>
        <v>0</v>
      </c>
    </row>
    <row r="50" spans="2:107" ht="15" customHeight="1" x14ac:dyDescent="0.25">
      <c r="B50" s="515">
        <v>27</v>
      </c>
      <c r="C50" s="249" t="s">
        <v>4247</v>
      </c>
      <c r="D50" s="250">
        <f>'Escolha tarifa'!E17</f>
        <v>0</v>
      </c>
      <c r="E50" s="558" t="s">
        <v>3912</v>
      </c>
      <c r="F50" s="232" t="s">
        <v>4248</v>
      </c>
      <c r="G50" s="251">
        <f t="shared" ref="G50:AL50" si="54">IF(G21=0,0,G49/G21)</f>
        <v>0</v>
      </c>
      <c r="H50" s="252">
        <f t="shared" si="54"/>
        <v>0</v>
      </c>
      <c r="I50" s="252">
        <f t="shared" si="54"/>
        <v>0</v>
      </c>
      <c r="J50" s="252">
        <f t="shared" si="54"/>
        <v>0</v>
      </c>
      <c r="K50" s="252">
        <f t="shared" si="54"/>
        <v>0</v>
      </c>
      <c r="L50" s="252">
        <f t="shared" si="54"/>
        <v>0</v>
      </c>
      <c r="M50" s="252">
        <f t="shared" si="54"/>
        <v>0</v>
      </c>
      <c r="N50" s="252">
        <f t="shared" si="54"/>
        <v>0</v>
      </c>
      <c r="O50" s="252">
        <f t="shared" si="54"/>
        <v>0</v>
      </c>
      <c r="P50" s="252">
        <f t="shared" si="54"/>
        <v>0</v>
      </c>
      <c r="Q50" s="252">
        <f t="shared" si="54"/>
        <v>0</v>
      </c>
      <c r="R50" s="252">
        <f t="shared" si="54"/>
        <v>0</v>
      </c>
      <c r="S50" s="252">
        <f t="shared" si="54"/>
        <v>0</v>
      </c>
      <c r="T50" s="252">
        <f t="shared" si="54"/>
        <v>0</v>
      </c>
      <c r="U50" s="252">
        <f t="shared" si="54"/>
        <v>0</v>
      </c>
      <c r="V50" s="252">
        <f t="shared" si="54"/>
        <v>0</v>
      </c>
      <c r="W50" s="252">
        <f t="shared" si="54"/>
        <v>0</v>
      </c>
      <c r="X50" s="252">
        <f t="shared" si="54"/>
        <v>0</v>
      </c>
      <c r="Y50" s="252">
        <f t="shared" si="54"/>
        <v>0</v>
      </c>
      <c r="Z50" s="252">
        <f t="shared" si="54"/>
        <v>0</v>
      </c>
      <c r="AA50" s="252">
        <f t="shared" si="54"/>
        <v>0</v>
      </c>
      <c r="AB50" s="252">
        <f t="shared" si="54"/>
        <v>0</v>
      </c>
      <c r="AC50" s="252">
        <f t="shared" si="54"/>
        <v>0</v>
      </c>
      <c r="AD50" s="252">
        <f t="shared" si="54"/>
        <v>0</v>
      </c>
      <c r="AE50" s="252">
        <f t="shared" si="54"/>
        <v>0</v>
      </c>
      <c r="AF50" s="252">
        <f t="shared" si="54"/>
        <v>0</v>
      </c>
      <c r="AG50" s="252">
        <f t="shared" si="54"/>
        <v>0</v>
      </c>
      <c r="AH50" s="252">
        <f t="shared" si="54"/>
        <v>0</v>
      </c>
      <c r="AI50" s="252">
        <f t="shared" si="54"/>
        <v>0</v>
      </c>
      <c r="AJ50" s="252">
        <f t="shared" si="54"/>
        <v>0</v>
      </c>
      <c r="AK50" s="252">
        <f t="shared" si="54"/>
        <v>0</v>
      </c>
      <c r="AL50" s="252">
        <f t="shared" si="54"/>
        <v>0</v>
      </c>
      <c r="AM50" s="252">
        <f t="shared" ref="AM50:BR50" si="55">IF(AM21=0,0,AM49/AM21)</f>
        <v>0</v>
      </c>
      <c r="AN50" s="252">
        <f t="shared" si="55"/>
        <v>0</v>
      </c>
      <c r="AO50" s="252">
        <f t="shared" si="55"/>
        <v>0</v>
      </c>
      <c r="AP50" s="252">
        <f t="shared" si="55"/>
        <v>0</v>
      </c>
      <c r="AQ50" s="252">
        <f t="shared" si="55"/>
        <v>0</v>
      </c>
      <c r="AR50" s="252">
        <f t="shared" si="55"/>
        <v>0</v>
      </c>
      <c r="AS50" s="252">
        <f t="shared" si="55"/>
        <v>0</v>
      </c>
      <c r="AT50" s="252">
        <f t="shared" si="55"/>
        <v>0</v>
      </c>
      <c r="AU50" s="252">
        <f t="shared" si="55"/>
        <v>0</v>
      </c>
      <c r="AV50" s="252">
        <f t="shared" si="55"/>
        <v>0</v>
      </c>
      <c r="AW50" s="252">
        <f t="shared" si="55"/>
        <v>0</v>
      </c>
      <c r="AX50" s="252">
        <f t="shared" si="55"/>
        <v>0</v>
      </c>
      <c r="AY50" s="252">
        <f t="shared" si="55"/>
        <v>0</v>
      </c>
      <c r="AZ50" s="252">
        <f t="shared" si="55"/>
        <v>0</v>
      </c>
      <c r="BA50" s="252">
        <f t="shared" si="55"/>
        <v>0</v>
      </c>
      <c r="BB50" s="252">
        <f t="shared" si="55"/>
        <v>0</v>
      </c>
      <c r="BC50" s="252">
        <f t="shared" si="55"/>
        <v>0</v>
      </c>
      <c r="BD50" s="252">
        <f t="shared" si="55"/>
        <v>0</v>
      </c>
      <c r="BE50" s="252">
        <f t="shared" si="55"/>
        <v>0</v>
      </c>
      <c r="BF50" s="252">
        <f t="shared" si="55"/>
        <v>0</v>
      </c>
      <c r="BG50" s="252">
        <f t="shared" si="55"/>
        <v>0</v>
      </c>
      <c r="BH50" s="252">
        <f t="shared" si="55"/>
        <v>0</v>
      </c>
      <c r="BI50" s="252">
        <f t="shared" si="55"/>
        <v>0</v>
      </c>
      <c r="BJ50" s="252">
        <f t="shared" si="55"/>
        <v>0</v>
      </c>
      <c r="BK50" s="252">
        <f t="shared" si="55"/>
        <v>0</v>
      </c>
      <c r="BL50" s="252">
        <f t="shared" si="55"/>
        <v>0</v>
      </c>
      <c r="BM50" s="252">
        <f t="shared" si="55"/>
        <v>0</v>
      </c>
      <c r="BN50" s="252">
        <f t="shared" si="55"/>
        <v>0</v>
      </c>
      <c r="BO50" s="252">
        <f t="shared" si="55"/>
        <v>0</v>
      </c>
      <c r="BP50" s="252">
        <f t="shared" si="55"/>
        <v>0</v>
      </c>
      <c r="BQ50" s="252">
        <f t="shared" si="55"/>
        <v>0</v>
      </c>
      <c r="BR50" s="252">
        <f t="shared" si="55"/>
        <v>0</v>
      </c>
      <c r="BS50" s="252">
        <f t="shared" ref="BS50:CX50" si="56">IF(BS21=0,0,BS49/BS21)</f>
        <v>0</v>
      </c>
      <c r="BT50" s="252">
        <f t="shared" si="56"/>
        <v>0</v>
      </c>
      <c r="BU50" s="252">
        <f t="shared" si="56"/>
        <v>0</v>
      </c>
      <c r="BV50" s="252">
        <f t="shared" si="56"/>
        <v>0</v>
      </c>
      <c r="BW50" s="252">
        <f t="shared" si="56"/>
        <v>0</v>
      </c>
      <c r="BX50" s="252">
        <f t="shared" si="56"/>
        <v>0</v>
      </c>
      <c r="BY50" s="252">
        <f t="shared" si="56"/>
        <v>0</v>
      </c>
      <c r="BZ50" s="252">
        <f t="shared" si="56"/>
        <v>0</v>
      </c>
      <c r="CA50" s="252">
        <f t="shared" si="56"/>
        <v>0</v>
      </c>
      <c r="CB50" s="252">
        <f t="shared" si="56"/>
        <v>0</v>
      </c>
      <c r="CC50" s="252">
        <f t="shared" si="56"/>
        <v>0</v>
      </c>
      <c r="CD50" s="252">
        <f t="shared" si="56"/>
        <v>0</v>
      </c>
      <c r="CE50" s="252">
        <f t="shared" si="56"/>
        <v>0</v>
      </c>
      <c r="CF50" s="252">
        <f t="shared" si="56"/>
        <v>0</v>
      </c>
      <c r="CG50" s="252">
        <f t="shared" si="56"/>
        <v>0</v>
      </c>
      <c r="CH50" s="252">
        <f t="shared" si="56"/>
        <v>0</v>
      </c>
      <c r="CI50" s="252">
        <f t="shared" si="56"/>
        <v>0</v>
      </c>
      <c r="CJ50" s="252">
        <f t="shared" si="56"/>
        <v>0</v>
      </c>
      <c r="CK50" s="252">
        <f t="shared" si="56"/>
        <v>0</v>
      </c>
      <c r="CL50" s="252">
        <f t="shared" si="56"/>
        <v>0</v>
      </c>
      <c r="CM50" s="252">
        <f t="shared" si="56"/>
        <v>0</v>
      </c>
      <c r="CN50" s="252">
        <f t="shared" si="56"/>
        <v>0</v>
      </c>
      <c r="CO50" s="252">
        <f t="shared" si="56"/>
        <v>0</v>
      </c>
      <c r="CP50" s="252">
        <f t="shared" si="56"/>
        <v>0</v>
      </c>
      <c r="CQ50" s="252">
        <f t="shared" si="56"/>
        <v>0</v>
      </c>
      <c r="CR50" s="252">
        <f t="shared" si="56"/>
        <v>0</v>
      </c>
      <c r="CS50" s="252">
        <f t="shared" si="56"/>
        <v>0</v>
      </c>
      <c r="CT50" s="252">
        <f t="shared" si="56"/>
        <v>0</v>
      </c>
      <c r="CU50" s="252">
        <f t="shared" si="56"/>
        <v>0</v>
      </c>
      <c r="CV50" s="252">
        <f t="shared" si="56"/>
        <v>0</v>
      </c>
      <c r="CW50" s="252">
        <f t="shared" si="56"/>
        <v>0</v>
      </c>
      <c r="CX50" s="252">
        <f t="shared" si="56"/>
        <v>0</v>
      </c>
      <c r="CY50" s="252">
        <f>IF(CY21=0,0,CY49/CY21)</f>
        <v>0</v>
      </c>
      <c r="CZ50" s="252">
        <f>IF(CZ21=0,0,CZ49/CZ21)</f>
        <v>0</v>
      </c>
      <c r="DA50" s="252">
        <f>IF(DA21=0,0,DA49/DA21)</f>
        <v>0</v>
      </c>
      <c r="DB50" s="252">
        <f>IF(DB21=0,0,DB49/DB21)</f>
        <v>0</v>
      </c>
      <c r="DC50" s="252">
        <f>IF(DC21=0,0,DC49/DC21)</f>
        <v>0</v>
      </c>
    </row>
    <row r="51" spans="2:107" ht="15" customHeight="1" x14ac:dyDescent="0.25">
      <c r="B51" s="253"/>
      <c r="C51" s="254" t="s">
        <v>4466</v>
      </c>
      <c r="D51" s="254"/>
      <c r="E51" s="542" t="s">
        <v>3911</v>
      </c>
      <c r="F51" s="255" t="s">
        <v>4467</v>
      </c>
      <c r="G51" s="256">
        <f>SUM(H51:DC51)</f>
        <v>0</v>
      </c>
      <c r="H51" s="257">
        <f t="shared" ref="H51:AM51" si="57">H47*$D$48+H49*$D$50</f>
        <v>0</v>
      </c>
      <c r="I51" s="257">
        <f t="shared" si="57"/>
        <v>0</v>
      </c>
      <c r="J51" s="257">
        <f t="shared" si="57"/>
        <v>0</v>
      </c>
      <c r="K51" s="257">
        <f t="shared" si="57"/>
        <v>0</v>
      </c>
      <c r="L51" s="257">
        <f t="shared" si="57"/>
        <v>0</v>
      </c>
      <c r="M51" s="257">
        <f t="shared" si="57"/>
        <v>0</v>
      </c>
      <c r="N51" s="257">
        <f t="shared" si="57"/>
        <v>0</v>
      </c>
      <c r="O51" s="257">
        <f t="shared" si="57"/>
        <v>0</v>
      </c>
      <c r="P51" s="257">
        <f t="shared" si="57"/>
        <v>0</v>
      </c>
      <c r="Q51" s="257">
        <f t="shared" si="57"/>
        <v>0</v>
      </c>
      <c r="R51" s="257">
        <f t="shared" si="57"/>
        <v>0</v>
      </c>
      <c r="S51" s="257">
        <f t="shared" si="57"/>
        <v>0</v>
      </c>
      <c r="T51" s="257">
        <f t="shared" si="57"/>
        <v>0</v>
      </c>
      <c r="U51" s="257">
        <f t="shared" si="57"/>
        <v>0</v>
      </c>
      <c r="V51" s="257">
        <f t="shared" si="57"/>
        <v>0</v>
      </c>
      <c r="W51" s="257">
        <f t="shared" si="57"/>
        <v>0</v>
      </c>
      <c r="X51" s="257">
        <f t="shared" si="57"/>
        <v>0</v>
      </c>
      <c r="Y51" s="257">
        <f t="shared" si="57"/>
        <v>0</v>
      </c>
      <c r="Z51" s="257">
        <f t="shared" si="57"/>
        <v>0</v>
      </c>
      <c r="AA51" s="257">
        <f t="shared" si="57"/>
        <v>0</v>
      </c>
      <c r="AB51" s="257">
        <f t="shared" si="57"/>
        <v>0</v>
      </c>
      <c r="AC51" s="257">
        <f t="shared" si="57"/>
        <v>0</v>
      </c>
      <c r="AD51" s="257">
        <f t="shared" si="57"/>
        <v>0</v>
      </c>
      <c r="AE51" s="257">
        <f t="shared" si="57"/>
        <v>0</v>
      </c>
      <c r="AF51" s="257">
        <f t="shared" si="57"/>
        <v>0</v>
      </c>
      <c r="AG51" s="257">
        <f t="shared" si="57"/>
        <v>0</v>
      </c>
      <c r="AH51" s="257">
        <f t="shared" si="57"/>
        <v>0</v>
      </c>
      <c r="AI51" s="257">
        <f t="shared" si="57"/>
        <v>0</v>
      </c>
      <c r="AJ51" s="257">
        <f t="shared" si="57"/>
        <v>0</v>
      </c>
      <c r="AK51" s="257">
        <f t="shared" si="57"/>
        <v>0</v>
      </c>
      <c r="AL51" s="257">
        <f t="shared" si="57"/>
        <v>0</v>
      </c>
      <c r="AM51" s="257">
        <f t="shared" si="57"/>
        <v>0</v>
      </c>
      <c r="AN51" s="257">
        <f t="shared" ref="AN51:BD51" si="58">AN47*$D$48+AN49*$D$50</f>
        <v>0</v>
      </c>
      <c r="AO51" s="257">
        <f t="shared" si="58"/>
        <v>0</v>
      </c>
      <c r="AP51" s="257">
        <f t="shared" si="58"/>
        <v>0</v>
      </c>
      <c r="AQ51" s="257">
        <f t="shared" si="58"/>
        <v>0</v>
      </c>
      <c r="AR51" s="257">
        <f t="shared" si="58"/>
        <v>0</v>
      </c>
      <c r="AS51" s="257">
        <f t="shared" si="58"/>
        <v>0</v>
      </c>
      <c r="AT51" s="257">
        <f t="shared" si="58"/>
        <v>0</v>
      </c>
      <c r="AU51" s="257">
        <f t="shared" si="58"/>
        <v>0</v>
      </c>
      <c r="AV51" s="257">
        <f t="shared" si="58"/>
        <v>0</v>
      </c>
      <c r="AW51" s="257">
        <f t="shared" si="58"/>
        <v>0</v>
      </c>
      <c r="AX51" s="257">
        <f t="shared" si="58"/>
        <v>0</v>
      </c>
      <c r="AY51" s="257">
        <f t="shared" si="58"/>
        <v>0</v>
      </c>
      <c r="AZ51" s="257">
        <f t="shared" si="58"/>
        <v>0</v>
      </c>
      <c r="BA51" s="257">
        <f t="shared" si="58"/>
        <v>0</v>
      </c>
      <c r="BB51" s="257">
        <f t="shared" si="58"/>
        <v>0</v>
      </c>
      <c r="BC51" s="257">
        <f t="shared" si="58"/>
        <v>0</v>
      </c>
      <c r="BD51" s="257">
        <f t="shared" si="58"/>
        <v>0</v>
      </c>
      <c r="BE51" s="257">
        <f t="shared" ref="BE51:DC51" si="59">BE47*$D$48+BE49*$D$50</f>
        <v>0</v>
      </c>
      <c r="BF51" s="257">
        <f t="shared" si="59"/>
        <v>0</v>
      </c>
      <c r="BG51" s="257">
        <f t="shared" si="59"/>
        <v>0</v>
      </c>
      <c r="BH51" s="257">
        <f t="shared" si="59"/>
        <v>0</v>
      </c>
      <c r="BI51" s="257">
        <f t="shared" si="59"/>
        <v>0</v>
      </c>
      <c r="BJ51" s="257">
        <f t="shared" si="59"/>
        <v>0</v>
      </c>
      <c r="BK51" s="257">
        <f t="shared" si="59"/>
        <v>0</v>
      </c>
      <c r="BL51" s="257">
        <f t="shared" si="59"/>
        <v>0</v>
      </c>
      <c r="BM51" s="257">
        <f t="shared" si="59"/>
        <v>0</v>
      </c>
      <c r="BN51" s="257">
        <f t="shared" si="59"/>
        <v>0</v>
      </c>
      <c r="BO51" s="257">
        <f t="shared" si="59"/>
        <v>0</v>
      </c>
      <c r="BP51" s="257">
        <f t="shared" si="59"/>
        <v>0</v>
      </c>
      <c r="BQ51" s="257">
        <f t="shared" si="59"/>
        <v>0</v>
      </c>
      <c r="BR51" s="257">
        <f t="shared" si="59"/>
        <v>0</v>
      </c>
      <c r="BS51" s="257">
        <f t="shared" si="59"/>
        <v>0</v>
      </c>
      <c r="BT51" s="257">
        <f t="shared" si="59"/>
        <v>0</v>
      </c>
      <c r="BU51" s="257">
        <f t="shared" si="59"/>
        <v>0</v>
      </c>
      <c r="BV51" s="257">
        <f t="shared" si="59"/>
        <v>0</v>
      </c>
      <c r="BW51" s="257">
        <f t="shared" si="59"/>
        <v>0</v>
      </c>
      <c r="BX51" s="257">
        <f t="shared" si="59"/>
        <v>0</v>
      </c>
      <c r="BY51" s="257">
        <f t="shared" si="59"/>
        <v>0</v>
      </c>
      <c r="BZ51" s="257">
        <f t="shared" si="59"/>
        <v>0</v>
      </c>
      <c r="CA51" s="257">
        <f t="shared" si="59"/>
        <v>0</v>
      </c>
      <c r="CB51" s="257">
        <f t="shared" si="59"/>
        <v>0</v>
      </c>
      <c r="CC51" s="257">
        <f t="shared" si="59"/>
        <v>0</v>
      </c>
      <c r="CD51" s="257">
        <f t="shared" si="59"/>
        <v>0</v>
      </c>
      <c r="CE51" s="257">
        <f t="shared" si="59"/>
        <v>0</v>
      </c>
      <c r="CF51" s="257">
        <f t="shared" si="59"/>
        <v>0</v>
      </c>
      <c r="CG51" s="257">
        <f t="shared" si="59"/>
        <v>0</v>
      </c>
      <c r="CH51" s="257">
        <f t="shared" si="59"/>
        <v>0</v>
      </c>
      <c r="CI51" s="257">
        <f t="shared" si="59"/>
        <v>0</v>
      </c>
      <c r="CJ51" s="257">
        <f t="shared" si="59"/>
        <v>0</v>
      </c>
      <c r="CK51" s="257">
        <f t="shared" si="59"/>
        <v>0</v>
      </c>
      <c r="CL51" s="257">
        <f t="shared" si="59"/>
        <v>0</v>
      </c>
      <c r="CM51" s="257">
        <f t="shared" si="59"/>
        <v>0</v>
      </c>
      <c r="CN51" s="257">
        <f t="shared" si="59"/>
        <v>0</v>
      </c>
      <c r="CO51" s="257">
        <f t="shared" si="59"/>
        <v>0</v>
      </c>
      <c r="CP51" s="257">
        <f t="shared" si="59"/>
        <v>0</v>
      </c>
      <c r="CQ51" s="257">
        <f t="shared" si="59"/>
        <v>0</v>
      </c>
      <c r="CR51" s="257">
        <f t="shared" si="59"/>
        <v>0</v>
      </c>
      <c r="CS51" s="257">
        <f t="shared" si="59"/>
        <v>0</v>
      </c>
      <c r="CT51" s="257">
        <f t="shared" si="59"/>
        <v>0</v>
      </c>
      <c r="CU51" s="257">
        <f t="shared" si="59"/>
        <v>0</v>
      </c>
      <c r="CV51" s="257">
        <f t="shared" si="59"/>
        <v>0</v>
      </c>
      <c r="CW51" s="257">
        <f t="shared" si="59"/>
        <v>0</v>
      </c>
      <c r="CX51" s="257">
        <f t="shared" si="59"/>
        <v>0</v>
      </c>
      <c r="CY51" s="257">
        <f t="shared" si="59"/>
        <v>0</v>
      </c>
      <c r="CZ51" s="257">
        <f t="shared" si="59"/>
        <v>0</v>
      </c>
      <c r="DA51" s="257">
        <f t="shared" si="59"/>
        <v>0</v>
      </c>
      <c r="DB51" s="257">
        <f t="shared" si="59"/>
        <v>0</v>
      </c>
      <c r="DC51" s="257">
        <f t="shared" si="59"/>
        <v>0</v>
      </c>
    </row>
    <row r="52" spans="2:107" ht="15" customHeight="1" x14ac:dyDescent="0.25">
      <c r="B52" s="253"/>
      <c r="C52" s="254" t="s">
        <v>4468</v>
      </c>
      <c r="D52" s="254"/>
      <c r="E52" s="542" t="s">
        <v>3911</v>
      </c>
      <c r="F52" s="255" t="s">
        <v>4469</v>
      </c>
      <c r="G52" s="256">
        <f>G49*D50</f>
        <v>0</v>
      </c>
      <c r="H52" s="257">
        <f>H49*$D$50</f>
        <v>0</v>
      </c>
      <c r="I52" s="257">
        <f t="shared" ref="I52:BD52" si="60">I49*$D$50</f>
        <v>0</v>
      </c>
      <c r="J52" s="257">
        <f t="shared" si="60"/>
        <v>0</v>
      </c>
      <c r="K52" s="257">
        <f t="shared" si="60"/>
        <v>0</v>
      </c>
      <c r="L52" s="257">
        <f t="shared" si="60"/>
        <v>0</v>
      </c>
      <c r="M52" s="257">
        <f t="shared" si="60"/>
        <v>0</v>
      </c>
      <c r="N52" s="257">
        <f t="shared" si="60"/>
        <v>0</v>
      </c>
      <c r="O52" s="257">
        <f t="shared" si="60"/>
        <v>0</v>
      </c>
      <c r="P52" s="257">
        <f t="shared" si="60"/>
        <v>0</v>
      </c>
      <c r="Q52" s="257">
        <f t="shared" si="60"/>
        <v>0</v>
      </c>
      <c r="R52" s="257">
        <f t="shared" si="60"/>
        <v>0</v>
      </c>
      <c r="S52" s="257">
        <f t="shared" si="60"/>
        <v>0</v>
      </c>
      <c r="T52" s="257">
        <f t="shared" si="60"/>
        <v>0</v>
      </c>
      <c r="U52" s="257">
        <f t="shared" si="60"/>
        <v>0</v>
      </c>
      <c r="V52" s="257">
        <f t="shared" si="60"/>
        <v>0</v>
      </c>
      <c r="W52" s="257">
        <f t="shared" si="60"/>
        <v>0</v>
      </c>
      <c r="X52" s="257">
        <f t="shared" si="60"/>
        <v>0</v>
      </c>
      <c r="Y52" s="257">
        <f t="shared" si="60"/>
        <v>0</v>
      </c>
      <c r="Z52" s="257">
        <f t="shared" si="60"/>
        <v>0</v>
      </c>
      <c r="AA52" s="257">
        <f t="shared" si="60"/>
        <v>0</v>
      </c>
      <c r="AB52" s="257">
        <f t="shared" si="60"/>
        <v>0</v>
      </c>
      <c r="AC52" s="257">
        <f t="shared" si="60"/>
        <v>0</v>
      </c>
      <c r="AD52" s="257">
        <f t="shared" si="60"/>
        <v>0</v>
      </c>
      <c r="AE52" s="257">
        <f t="shared" si="60"/>
        <v>0</v>
      </c>
      <c r="AF52" s="257">
        <f t="shared" si="60"/>
        <v>0</v>
      </c>
      <c r="AG52" s="257">
        <f t="shared" si="60"/>
        <v>0</v>
      </c>
      <c r="AH52" s="257">
        <f t="shared" si="60"/>
        <v>0</v>
      </c>
      <c r="AI52" s="257">
        <f t="shared" si="60"/>
        <v>0</v>
      </c>
      <c r="AJ52" s="257">
        <f t="shared" si="60"/>
        <v>0</v>
      </c>
      <c r="AK52" s="257">
        <f t="shared" si="60"/>
        <v>0</v>
      </c>
      <c r="AL52" s="257">
        <f t="shared" si="60"/>
        <v>0</v>
      </c>
      <c r="AM52" s="257">
        <f t="shared" si="60"/>
        <v>0</v>
      </c>
      <c r="AN52" s="257">
        <f t="shared" si="60"/>
        <v>0</v>
      </c>
      <c r="AO52" s="257">
        <f t="shared" si="60"/>
        <v>0</v>
      </c>
      <c r="AP52" s="257">
        <f t="shared" si="60"/>
        <v>0</v>
      </c>
      <c r="AQ52" s="257">
        <f t="shared" si="60"/>
        <v>0</v>
      </c>
      <c r="AR52" s="257">
        <f t="shared" si="60"/>
        <v>0</v>
      </c>
      <c r="AS52" s="257">
        <f t="shared" si="60"/>
        <v>0</v>
      </c>
      <c r="AT52" s="257">
        <f t="shared" si="60"/>
        <v>0</v>
      </c>
      <c r="AU52" s="257">
        <f t="shared" si="60"/>
        <v>0</v>
      </c>
      <c r="AV52" s="257">
        <f t="shared" si="60"/>
        <v>0</v>
      </c>
      <c r="AW52" s="257">
        <f t="shared" si="60"/>
        <v>0</v>
      </c>
      <c r="AX52" s="257">
        <f t="shared" si="60"/>
        <v>0</v>
      </c>
      <c r="AY52" s="257">
        <f t="shared" si="60"/>
        <v>0</v>
      </c>
      <c r="AZ52" s="257">
        <f t="shared" si="60"/>
        <v>0</v>
      </c>
      <c r="BA52" s="257">
        <f t="shared" si="60"/>
        <v>0</v>
      </c>
      <c r="BB52" s="257">
        <f t="shared" si="60"/>
        <v>0</v>
      </c>
      <c r="BC52" s="257">
        <f t="shared" si="60"/>
        <v>0</v>
      </c>
      <c r="BD52" s="257">
        <f t="shared" si="60"/>
        <v>0</v>
      </c>
      <c r="BE52" s="257">
        <f t="shared" ref="BE52:DC52" si="61">BE49*$D$50</f>
        <v>0</v>
      </c>
      <c r="BF52" s="257">
        <f t="shared" si="61"/>
        <v>0</v>
      </c>
      <c r="BG52" s="257">
        <f t="shared" si="61"/>
        <v>0</v>
      </c>
      <c r="BH52" s="257">
        <f t="shared" si="61"/>
        <v>0</v>
      </c>
      <c r="BI52" s="257">
        <f t="shared" si="61"/>
        <v>0</v>
      </c>
      <c r="BJ52" s="257">
        <f t="shared" si="61"/>
        <v>0</v>
      </c>
      <c r="BK52" s="257">
        <f t="shared" si="61"/>
        <v>0</v>
      </c>
      <c r="BL52" s="257">
        <f t="shared" si="61"/>
        <v>0</v>
      </c>
      <c r="BM52" s="257">
        <f t="shared" si="61"/>
        <v>0</v>
      </c>
      <c r="BN52" s="257">
        <f t="shared" si="61"/>
        <v>0</v>
      </c>
      <c r="BO52" s="257">
        <f t="shared" si="61"/>
        <v>0</v>
      </c>
      <c r="BP52" s="257">
        <f t="shared" si="61"/>
        <v>0</v>
      </c>
      <c r="BQ52" s="257">
        <f t="shared" si="61"/>
        <v>0</v>
      </c>
      <c r="BR52" s="257">
        <f t="shared" si="61"/>
        <v>0</v>
      </c>
      <c r="BS52" s="257">
        <f t="shared" si="61"/>
        <v>0</v>
      </c>
      <c r="BT52" s="257">
        <f t="shared" si="61"/>
        <v>0</v>
      </c>
      <c r="BU52" s="257">
        <f t="shared" si="61"/>
        <v>0</v>
      </c>
      <c r="BV52" s="257">
        <f t="shared" si="61"/>
        <v>0</v>
      </c>
      <c r="BW52" s="257">
        <f t="shared" si="61"/>
        <v>0</v>
      </c>
      <c r="BX52" s="257">
        <f t="shared" si="61"/>
        <v>0</v>
      </c>
      <c r="BY52" s="257">
        <f t="shared" si="61"/>
        <v>0</v>
      </c>
      <c r="BZ52" s="257">
        <f t="shared" si="61"/>
        <v>0</v>
      </c>
      <c r="CA52" s="257">
        <f t="shared" si="61"/>
        <v>0</v>
      </c>
      <c r="CB52" s="257">
        <f t="shared" si="61"/>
        <v>0</v>
      </c>
      <c r="CC52" s="257">
        <f t="shared" si="61"/>
        <v>0</v>
      </c>
      <c r="CD52" s="257">
        <f t="shared" si="61"/>
        <v>0</v>
      </c>
      <c r="CE52" s="257">
        <f t="shared" si="61"/>
        <v>0</v>
      </c>
      <c r="CF52" s="257">
        <f t="shared" si="61"/>
        <v>0</v>
      </c>
      <c r="CG52" s="257">
        <f t="shared" si="61"/>
        <v>0</v>
      </c>
      <c r="CH52" s="257">
        <f t="shared" si="61"/>
        <v>0</v>
      </c>
      <c r="CI52" s="257">
        <f t="shared" si="61"/>
        <v>0</v>
      </c>
      <c r="CJ52" s="257">
        <f t="shared" si="61"/>
        <v>0</v>
      </c>
      <c r="CK52" s="257">
        <f t="shared" si="61"/>
        <v>0</v>
      </c>
      <c r="CL52" s="257">
        <f t="shared" si="61"/>
        <v>0</v>
      </c>
      <c r="CM52" s="257">
        <f t="shared" si="61"/>
        <v>0</v>
      </c>
      <c r="CN52" s="257">
        <f t="shared" si="61"/>
        <v>0</v>
      </c>
      <c r="CO52" s="257">
        <f t="shared" si="61"/>
        <v>0</v>
      </c>
      <c r="CP52" s="257">
        <f t="shared" si="61"/>
        <v>0</v>
      </c>
      <c r="CQ52" s="257">
        <f t="shared" si="61"/>
        <v>0</v>
      </c>
      <c r="CR52" s="257">
        <f t="shared" si="61"/>
        <v>0</v>
      </c>
      <c r="CS52" s="257">
        <f t="shared" si="61"/>
        <v>0</v>
      </c>
      <c r="CT52" s="257">
        <f t="shared" si="61"/>
        <v>0</v>
      </c>
      <c r="CU52" s="257">
        <f t="shared" si="61"/>
        <v>0</v>
      </c>
      <c r="CV52" s="257">
        <f t="shared" si="61"/>
        <v>0</v>
      </c>
      <c r="CW52" s="257">
        <f t="shared" si="61"/>
        <v>0</v>
      </c>
      <c r="CX52" s="257">
        <f t="shared" si="61"/>
        <v>0</v>
      </c>
      <c r="CY52" s="257">
        <f t="shared" si="61"/>
        <v>0</v>
      </c>
      <c r="CZ52" s="257">
        <f t="shared" si="61"/>
        <v>0</v>
      </c>
      <c r="DA52" s="257">
        <f t="shared" si="61"/>
        <v>0</v>
      </c>
      <c r="DB52" s="257">
        <f t="shared" si="61"/>
        <v>0</v>
      </c>
      <c r="DC52" s="257">
        <f t="shared" si="61"/>
        <v>0</v>
      </c>
    </row>
    <row r="53" spans="2:107" ht="15" customHeight="1" x14ac:dyDescent="0.25">
      <c r="B53" s="253"/>
      <c r="C53" s="254" t="s">
        <v>4470</v>
      </c>
      <c r="D53" s="254"/>
      <c r="E53" s="542" t="s">
        <v>3911</v>
      </c>
      <c r="F53" s="255" t="s">
        <v>4471</v>
      </c>
      <c r="G53" s="256">
        <f>G47*D48</f>
        <v>0</v>
      </c>
      <c r="H53" s="257">
        <f>H47*$D$48</f>
        <v>0</v>
      </c>
      <c r="I53" s="257">
        <f t="shared" ref="I53:BD53" si="62">I47*$D$48</f>
        <v>0</v>
      </c>
      <c r="J53" s="257">
        <f t="shared" si="62"/>
        <v>0</v>
      </c>
      <c r="K53" s="257">
        <f t="shared" si="62"/>
        <v>0</v>
      </c>
      <c r="L53" s="257">
        <f t="shared" si="62"/>
        <v>0</v>
      </c>
      <c r="M53" s="257">
        <f t="shared" si="62"/>
        <v>0</v>
      </c>
      <c r="N53" s="257">
        <f t="shared" si="62"/>
        <v>0</v>
      </c>
      <c r="O53" s="257">
        <f t="shared" si="62"/>
        <v>0</v>
      </c>
      <c r="P53" s="257">
        <f t="shared" si="62"/>
        <v>0</v>
      </c>
      <c r="Q53" s="257">
        <f t="shared" si="62"/>
        <v>0</v>
      </c>
      <c r="R53" s="257">
        <f t="shared" si="62"/>
        <v>0</v>
      </c>
      <c r="S53" s="257">
        <f t="shared" si="62"/>
        <v>0</v>
      </c>
      <c r="T53" s="257">
        <f t="shared" si="62"/>
        <v>0</v>
      </c>
      <c r="U53" s="257">
        <f t="shared" si="62"/>
        <v>0</v>
      </c>
      <c r="V53" s="257">
        <f t="shared" si="62"/>
        <v>0</v>
      </c>
      <c r="W53" s="257">
        <f t="shared" si="62"/>
        <v>0</v>
      </c>
      <c r="X53" s="257">
        <f t="shared" si="62"/>
        <v>0</v>
      </c>
      <c r="Y53" s="257">
        <f t="shared" si="62"/>
        <v>0</v>
      </c>
      <c r="Z53" s="257">
        <f t="shared" si="62"/>
        <v>0</v>
      </c>
      <c r="AA53" s="257">
        <f t="shared" si="62"/>
        <v>0</v>
      </c>
      <c r="AB53" s="257">
        <f t="shared" si="62"/>
        <v>0</v>
      </c>
      <c r="AC53" s="257">
        <f t="shared" si="62"/>
        <v>0</v>
      </c>
      <c r="AD53" s="257">
        <f t="shared" si="62"/>
        <v>0</v>
      </c>
      <c r="AE53" s="257">
        <f t="shared" si="62"/>
        <v>0</v>
      </c>
      <c r="AF53" s="257">
        <f t="shared" si="62"/>
        <v>0</v>
      </c>
      <c r="AG53" s="257">
        <f t="shared" si="62"/>
        <v>0</v>
      </c>
      <c r="AH53" s="257">
        <f t="shared" si="62"/>
        <v>0</v>
      </c>
      <c r="AI53" s="257">
        <f t="shared" si="62"/>
        <v>0</v>
      </c>
      <c r="AJ53" s="257">
        <f t="shared" si="62"/>
        <v>0</v>
      </c>
      <c r="AK53" s="257">
        <f t="shared" si="62"/>
        <v>0</v>
      </c>
      <c r="AL53" s="257">
        <f t="shared" si="62"/>
        <v>0</v>
      </c>
      <c r="AM53" s="257">
        <f t="shared" si="62"/>
        <v>0</v>
      </c>
      <c r="AN53" s="257">
        <f t="shared" si="62"/>
        <v>0</v>
      </c>
      <c r="AO53" s="257">
        <f t="shared" si="62"/>
        <v>0</v>
      </c>
      <c r="AP53" s="257">
        <f t="shared" si="62"/>
        <v>0</v>
      </c>
      <c r="AQ53" s="257">
        <f t="shared" si="62"/>
        <v>0</v>
      </c>
      <c r="AR53" s="257">
        <f t="shared" si="62"/>
        <v>0</v>
      </c>
      <c r="AS53" s="257">
        <f t="shared" si="62"/>
        <v>0</v>
      </c>
      <c r="AT53" s="257">
        <f t="shared" si="62"/>
        <v>0</v>
      </c>
      <c r="AU53" s="257">
        <f t="shared" si="62"/>
        <v>0</v>
      </c>
      <c r="AV53" s="257">
        <f t="shared" si="62"/>
        <v>0</v>
      </c>
      <c r="AW53" s="257">
        <f t="shared" si="62"/>
        <v>0</v>
      </c>
      <c r="AX53" s="257">
        <f t="shared" si="62"/>
        <v>0</v>
      </c>
      <c r="AY53" s="257">
        <f t="shared" si="62"/>
        <v>0</v>
      </c>
      <c r="AZ53" s="257">
        <f t="shared" si="62"/>
        <v>0</v>
      </c>
      <c r="BA53" s="257">
        <f t="shared" si="62"/>
        <v>0</v>
      </c>
      <c r="BB53" s="257">
        <f t="shared" si="62"/>
        <v>0</v>
      </c>
      <c r="BC53" s="257">
        <f t="shared" si="62"/>
        <v>0</v>
      </c>
      <c r="BD53" s="257">
        <f t="shared" si="62"/>
        <v>0</v>
      </c>
      <c r="BE53" s="257">
        <f t="shared" ref="BE53:DC53" si="63">BE47*$D$48</f>
        <v>0</v>
      </c>
      <c r="BF53" s="257">
        <f t="shared" si="63"/>
        <v>0</v>
      </c>
      <c r="BG53" s="257">
        <f t="shared" si="63"/>
        <v>0</v>
      </c>
      <c r="BH53" s="257">
        <f t="shared" si="63"/>
        <v>0</v>
      </c>
      <c r="BI53" s="257">
        <f t="shared" si="63"/>
        <v>0</v>
      </c>
      <c r="BJ53" s="257">
        <f t="shared" si="63"/>
        <v>0</v>
      </c>
      <c r="BK53" s="257">
        <f t="shared" si="63"/>
        <v>0</v>
      </c>
      <c r="BL53" s="257">
        <f t="shared" si="63"/>
        <v>0</v>
      </c>
      <c r="BM53" s="257">
        <f t="shared" si="63"/>
        <v>0</v>
      </c>
      <c r="BN53" s="257">
        <f t="shared" si="63"/>
        <v>0</v>
      </c>
      <c r="BO53" s="257">
        <f t="shared" si="63"/>
        <v>0</v>
      </c>
      <c r="BP53" s="257">
        <f t="shared" si="63"/>
        <v>0</v>
      </c>
      <c r="BQ53" s="257">
        <f t="shared" si="63"/>
        <v>0</v>
      </c>
      <c r="BR53" s="257">
        <f t="shared" si="63"/>
        <v>0</v>
      </c>
      <c r="BS53" s="257">
        <f t="shared" si="63"/>
        <v>0</v>
      </c>
      <c r="BT53" s="257">
        <f t="shared" si="63"/>
        <v>0</v>
      </c>
      <c r="BU53" s="257">
        <f t="shared" si="63"/>
        <v>0</v>
      </c>
      <c r="BV53" s="257">
        <f t="shared" si="63"/>
        <v>0</v>
      </c>
      <c r="BW53" s="257">
        <f t="shared" si="63"/>
        <v>0</v>
      </c>
      <c r="BX53" s="257">
        <f t="shared" si="63"/>
        <v>0</v>
      </c>
      <c r="BY53" s="257">
        <f t="shared" si="63"/>
        <v>0</v>
      </c>
      <c r="BZ53" s="257">
        <f t="shared" si="63"/>
        <v>0</v>
      </c>
      <c r="CA53" s="257">
        <f t="shared" si="63"/>
        <v>0</v>
      </c>
      <c r="CB53" s="257">
        <f t="shared" si="63"/>
        <v>0</v>
      </c>
      <c r="CC53" s="257">
        <f t="shared" si="63"/>
        <v>0</v>
      </c>
      <c r="CD53" s="257">
        <f t="shared" si="63"/>
        <v>0</v>
      </c>
      <c r="CE53" s="257">
        <f t="shared" si="63"/>
        <v>0</v>
      </c>
      <c r="CF53" s="257">
        <f t="shared" si="63"/>
        <v>0</v>
      </c>
      <c r="CG53" s="257">
        <f t="shared" si="63"/>
        <v>0</v>
      </c>
      <c r="CH53" s="257">
        <f t="shared" si="63"/>
        <v>0</v>
      </c>
      <c r="CI53" s="257">
        <f t="shared" si="63"/>
        <v>0</v>
      </c>
      <c r="CJ53" s="257">
        <f t="shared" si="63"/>
        <v>0</v>
      </c>
      <c r="CK53" s="257">
        <f t="shared" si="63"/>
        <v>0</v>
      </c>
      <c r="CL53" s="257">
        <f t="shared" si="63"/>
        <v>0</v>
      </c>
      <c r="CM53" s="257">
        <f t="shared" si="63"/>
        <v>0</v>
      </c>
      <c r="CN53" s="257">
        <f t="shared" si="63"/>
        <v>0</v>
      </c>
      <c r="CO53" s="257">
        <f t="shared" si="63"/>
        <v>0</v>
      </c>
      <c r="CP53" s="257">
        <f t="shared" si="63"/>
        <v>0</v>
      </c>
      <c r="CQ53" s="257">
        <f t="shared" si="63"/>
        <v>0</v>
      </c>
      <c r="CR53" s="257">
        <f t="shared" si="63"/>
        <v>0</v>
      </c>
      <c r="CS53" s="257">
        <f t="shared" si="63"/>
        <v>0</v>
      </c>
      <c r="CT53" s="257">
        <f t="shared" si="63"/>
        <v>0</v>
      </c>
      <c r="CU53" s="257">
        <f t="shared" si="63"/>
        <v>0</v>
      </c>
      <c r="CV53" s="257">
        <f t="shared" si="63"/>
        <v>0</v>
      </c>
      <c r="CW53" s="257">
        <f t="shared" si="63"/>
        <v>0</v>
      </c>
      <c r="CX53" s="257">
        <f t="shared" si="63"/>
        <v>0</v>
      </c>
      <c r="CY53" s="257">
        <f t="shared" si="63"/>
        <v>0</v>
      </c>
      <c r="CZ53" s="257">
        <f t="shared" si="63"/>
        <v>0</v>
      </c>
      <c r="DA53" s="257">
        <f t="shared" si="63"/>
        <v>0</v>
      </c>
      <c r="DB53" s="257">
        <f t="shared" si="63"/>
        <v>0</v>
      </c>
      <c r="DC53" s="257">
        <f t="shared" si="63"/>
        <v>0</v>
      </c>
    </row>
    <row r="55" spans="2:107" ht="15" customHeight="1" x14ac:dyDescent="0.35">
      <c r="E55" s="189" t="s">
        <v>4341</v>
      </c>
      <c r="F55" s="190"/>
      <c r="G55" s="191">
        <f>RCB!$G$9</f>
        <v>0</v>
      </c>
      <c r="I55" s="189" t="s">
        <v>4342</v>
      </c>
      <c r="J55" s="190"/>
      <c r="K55" s="191">
        <f>RCB!$J$9</f>
        <v>0</v>
      </c>
    </row>
    <row r="56" spans="2:107" ht="15" customHeight="1" x14ac:dyDescent="0.35">
      <c r="E56" s="189" t="s">
        <v>4074</v>
      </c>
      <c r="F56" s="190"/>
      <c r="G56" s="191">
        <f>RCB!$H$7</f>
        <v>0</v>
      </c>
      <c r="I56" s="189" t="s">
        <v>4075</v>
      </c>
      <c r="J56" s="190"/>
      <c r="K56" s="191">
        <f>RCB!$K$7</f>
        <v>0</v>
      </c>
    </row>
    <row r="58" spans="2:107" ht="15" hidden="1" customHeight="1" x14ac:dyDescent="0.25">
      <c r="B58" s="858" t="s">
        <v>4472</v>
      </c>
      <c r="C58" s="859"/>
      <c r="D58" s="859"/>
      <c r="E58" s="859"/>
      <c r="F58" s="859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</row>
    <row r="59" spans="2:107" s="103" customFormat="1" ht="15" hidden="1" customHeight="1" x14ac:dyDescent="0.25">
      <c r="B59" s="259"/>
      <c r="C59" s="260"/>
      <c r="D59" s="260"/>
      <c r="E59" s="260"/>
      <c r="F59" s="261"/>
      <c r="G59" s="262" t="s">
        <v>76</v>
      </c>
      <c r="H59" s="263" t="s">
        <v>4352</v>
      </c>
      <c r="I59" s="263" t="s">
        <v>4353</v>
      </c>
      <c r="J59" s="263" t="s">
        <v>4354</v>
      </c>
      <c r="K59" s="263" t="s">
        <v>4355</v>
      </c>
      <c r="L59" s="263" t="s">
        <v>4356</v>
      </c>
      <c r="M59" s="263" t="s">
        <v>4357</v>
      </c>
      <c r="N59" s="263" t="s">
        <v>4358</v>
      </c>
      <c r="O59" s="263" t="s">
        <v>4359</v>
      </c>
      <c r="P59" s="263" t="s">
        <v>4360</v>
      </c>
      <c r="Q59" s="263" t="s">
        <v>4361</v>
      </c>
      <c r="R59" s="263" t="s">
        <v>4362</v>
      </c>
      <c r="S59" s="263" t="s">
        <v>4363</v>
      </c>
      <c r="T59" s="263" t="s">
        <v>4364</v>
      </c>
      <c r="U59" s="263" t="s">
        <v>4365</v>
      </c>
      <c r="V59" s="263" t="s">
        <v>4366</v>
      </c>
      <c r="W59" s="263" t="s">
        <v>4367</v>
      </c>
      <c r="X59" s="263" t="s">
        <v>4368</v>
      </c>
      <c r="Y59" s="263" t="s">
        <v>4369</v>
      </c>
      <c r="Z59" s="263" t="s">
        <v>4370</v>
      </c>
      <c r="AA59" s="263" t="s">
        <v>4371</v>
      </c>
      <c r="AB59" s="263" t="s">
        <v>4372</v>
      </c>
      <c r="AC59" s="263" t="s">
        <v>4373</v>
      </c>
      <c r="AD59" s="263" t="s">
        <v>4374</v>
      </c>
      <c r="AE59" s="263" t="s">
        <v>4375</v>
      </c>
      <c r="AF59" s="263" t="s">
        <v>4376</v>
      </c>
      <c r="AG59" s="263" t="s">
        <v>4377</v>
      </c>
      <c r="AH59" s="263" t="s">
        <v>4378</v>
      </c>
      <c r="AI59" s="263" t="s">
        <v>4379</v>
      </c>
      <c r="AJ59" s="263" t="s">
        <v>4380</v>
      </c>
      <c r="AK59" s="263" t="s">
        <v>4381</v>
      </c>
      <c r="AL59" s="263" t="s">
        <v>4382</v>
      </c>
      <c r="AM59" s="263" t="s">
        <v>4383</v>
      </c>
      <c r="AN59" s="263" t="s">
        <v>4384</v>
      </c>
      <c r="AO59" s="263" t="s">
        <v>4385</v>
      </c>
      <c r="AP59" s="263" t="s">
        <v>4386</v>
      </c>
      <c r="AQ59" s="263" t="s">
        <v>4387</v>
      </c>
      <c r="AR59" s="263" t="s">
        <v>4388</v>
      </c>
      <c r="AS59" s="263" t="s">
        <v>4389</v>
      </c>
      <c r="AT59" s="263" t="s">
        <v>4390</v>
      </c>
      <c r="AU59" s="263" t="s">
        <v>4391</v>
      </c>
      <c r="AV59" s="263" t="s">
        <v>4392</v>
      </c>
      <c r="AW59" s="263" t="s">
        <v>4393</v>
      </c>
      <c r="AX59" s="263" t="s">
        <v>4394</v>
      </c>
      <c r="AY59" s="263" t="s">
        <v>4395</v>
      </c>
      <c r="AZ59" s="263" t="s">
        <v>4396</v>
      </c>
      <c r="BA59" s="263" t="s">
        <v>4397</v>
      </c>
      <c r="BB59" s="263" t="s">
        <v>4398</v>
      </c>
      <c r="BC59" s="263" t="s">
        <v>4399</v>
      </c>
      <c r="BD59" s="263" t="s">
        <v>4400</v>
      </c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 t="s">
        <v>4401</v>
      </c>
    </row>
    <row r="60" spans="2:107" ht="15" hidden="1" customHeight="1" x14ac:dyDescent="0.25">
      <c r="B60" s="259">
        <v>31</v>
      </c>
      <c r="C60" s="264" t="s">
        <v>4452</v>
      </c>
      <c r="D60" s="264"/>
      <c r="E60" s="273" t="s">
        <v>4453</v>
      </c>
      <c r="F60" s="268" t="s">
        <v>4259</v>
      </c>
      <c r="G60" s="269">
        <f>SUM(H60:DC60)</f>
        <v>0</v>
      </c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</row>
    <row r="61" spans="2:107" ht="15" hidden="1" customHeight="1" x14ac:dyDescent="0.25">
      <c r="B61" s="259">
        <v>32</v>
      </c>
      <c r="C61" s="264" t="s">
        <v>4256</v>
      </c>
      <c r="D61" s="264"/>
      <c r="E61" s="265"/>
      <c r="F61" s="268" t="s">
        <v>4257</v>
      </c>
      <c r="G61" s="269">
        <f>SUM(H61:DC61)</f>
        <v>0</v>
      </c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  <c r="CR61" s="270"/>
      <c r="CS61" s="270"/>
      <c r="CT61" s="270"/>
      <c r="CU61" s="270"/>
      <c r="CV61" s="270"/>
      <c r="CW61" s="270"/>
      <c r="CX61" s="270"/>
      <c r="CY61" s="270"/>
      <c r="CZ61" s="270"/>
      <c r="DA61" s="270"/>
      <c r="DB61" s="270"/>
      <c r="DC61" s="270"/>
    </row>
    <row r="62" spans="2:107" ht="15" hidden="1" customHeight="1" x14ac:dyDescent="0.25">
      <c r="B62" s="902">
        <v>33</v>
      </c>
      <c r="C62" s="264" t="s">
        <v>4473</v>
      </c>
      <c r="D62" s="264"/>
      <c r="E62" s="265" t="s">
        <v>4199</v>
      </c>
      <c r="F62" s="268" t="s">
        <v>4474</v>
      </c>
      <c r="G62" s="271">
        <f>SUM(H62:DC62)</f>
        <v>0</v>
      </c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</row>
    <row r="63" spans="2:107" ht="15" hidden="1" customHeight="1" x14ac:dyDescent="0.25">
      <c r="B63" s="760"/>
      <c r="C63" s="264" t="s">
        <v>4331</v>
      </c>
      <c r="D63" s="264"/>
      <c r="E63" s="265" t="s">
        <v>3857</v>
      </c>
      <c r="F63" s="268" t="s">
        <v>4320</v>
      </c>
      <c r="G63" s="271">
        <f>SUM(H63:DC63)</f>
        <v>0</v>
      </c>
      <c r="H63" s="272">
        <f>(H61*H62)/1000</f>
        <v>0</v>
      </c>
      <c r="I63" s="272">
        <f t="shared" ref="I63:DC63" si="64">(I61*I62)/1000</f>
        <v>0</v>
      </c>
      <c r="J63" s="272">
        <f t="shared" si="64"/>
        <v>0</v>
      </c>
      <c r="K63" s="272">
        <f t="shared" si="64"/>
        <v>0</v>
      </c>
      <c r="L63" s="272">
        <f t="shared" si="64"/>
        <v>0</v>
      </c>
      <c r="M63" s="272">
        <f t="shared" si="64"/>
        <v>0</v>
      </c>
      <c r="N63" s="272">
        <f t="shared" si="64"/>
        <v>0</v>
      </c>
      <c r="O63" s="272">
        <f t="shared" si="64"/>
        <v>0</v>
      </c>
      <c r="P63" s="272">
        <f t="shared" si="64"/>
        <v>0</v>
      </c>
      <c r="Q63" s="272">
        <f t="shared" si="64"/>
        <v>0</v>
      </c>
      <c r="R63" s="272">
        <f t="shared" si="64"/>
        <v>0</v>
      </c>
      <c r="S63" s="272">
        <f t="shared" si="64"/>
        <v>0</v>
      </c>
      <c r="T63" s="272">
        <f t="shared" si="64"/>
        <v>0</v>
      </c>
      <c r="U63" s="272">
        <f t="shared" si="64"/>
        <v>0</v>
      </c>
      <c r="V63" s="272">
        <f t="shared" si="64"/>
        <v>0</v>
      </c>
      <c r="W63" s="272">
        <f t="shared" si="64"/>
        <v>0</v>
      </c>
      <c r="X63" s="272">
        <f t="shared" si="64"/>
        <v>0</v>
      </c>
      <c r="Y63" s="272">
        <f t="shared" si="64"/>
        <v>0</v>
      </c>
      <c r="Z63" s="272">
        <f t="shared" si="64"/>
        <v>0</v>
      </c>
      <c r="AA63" s="272">
        <f t="shared" si="64"/>
        <v>0</v>
      </c>
      <c r="AB63" s="272">
        <f t="shared" si="64"/>
        <v>0</v>
      </c>
      <c r="AC63" s="272">
        <f t="shared" si="64"/>
        <v>0</v>
      </c>
      <c r="AD63" s="272">
        <f t="shared" si="64"/>
        <v>0</v>
      </c>
      <c r="AE63" s="272">
        <f t="shared" si="64"/>
        <v>0</v>
      </c>
      <c r="AF63" s="272">
        <f t="shared" si="64"/>
        <v>0</v>
      </c>
      <c r="AG63" s="272">
        <f t="shared" si="64"/>
        <v>0</v>
      </c>
      <c r="AH63" s="272">
        <f t="shared" si="64"/>
        <v>0</v>
      </c>
      <c r="AI63" s="272">
        <f t="shared" si="64"/>
        <v>0</v>
      </c>
      <c r="AJ63" s="272">
        <f t="shared" si="64"/>
        <v>0</v>
      </c>
      <c r="AK63" s="272">
        <f t="shared" si="64"/>
        <v>0</v>
      </c>
      <c r="AL63" s="272">
        <f t="shared" si="64"/>
        <v>0</v>
      </c>
      <c r="AM63" s="272">
        <f t="shared" si="64"/>
        <v>0</v>
      </c>
      <c r="AN63" s="272">
        <f t="shared" si="64"/>
        <v>0</v>
      </c>
      <c r="AO63" s="272">
        <f t="shared" si="64"/>
        <v>0</v>
      </c>
      <c r="AP63" s="272">
        <f t="shared" si="64"/>
        <v>0</v>
      </c>
      <c r="AQ63" s="272">
        <f t="shared" si="64"/>
        <v>0</v>
      </c>
      <c r="AR63" s="272">
        <f t="shared" si="64"/>
        <v>0</v>
      </c>
      <c r="AS63" s="272">
        <f t="shared" si="64"/>
        <v>0</v>
      </c>
      <c r="AT63" s="272">
        <f t="shared" si="64"/>
        <v>0</v>
      </c>
      <c r="AU63" s="272">
        <f t="shared" si="64"/>
        <v>0</v>
      </c>
      <c r="AV63" s="272">
        <f t="shared" si="64"/>
        <v>0</v>
      </c>
      <c r="AW63" s="272">
        <f t="shared" si="64"/>
        <v>0</v>
      </c>
      <c r="AX63" s="272">
        <f t="shared" si="64"/>
        <v>0</v>
      </c>
      <c r="AY63" s="272">
        <f t="shared" si="64"/>
        <v>0</v>
      </c>
      <c r="AZ63" s="272">
        <f t="shared" si="64"/>
        <v>0</v>
      </c>
      <c r="BA63" s="272">
        <f t="shared" si="64"/>
        <v>0</v>
      </c>
      <c r="BB63" s="272">
        <f t="shared" si="64"/>
        <v>0</v>
      </c>
      <c r="BC63" s="272">
        <f t="shared" si="64"/>
        <v>0</v>
      </c>
      <c r="BD63" s="272">
        <f t="shared" si="64"/>
        <v>0</v>
      </c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>
        <f t="shared" si="64"/>
        <v>0</v>
      </c>
    </row>
    <row r="64" spans="2:107" ht="15" hidden="1" customHeight="1" x14ac:dyDescent="0.25">
      <c r="B64" s="902">
        <v>34</v>
      </c>
      <c r="C64" s="264" t="s">
        <v>4475</v>
      </c>
      <c r="D64" s="264"/>
      <c r="E64" s="265"/>
      <c r="F64" s="268" t="s">
        <v>4476</v>
      </c>
      <c r="G64" s="271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</row>
    <row r="65" spans="2:107" ht="15" hidden="1" customHeight="1" x14ac:dyDescent="0.25">
      <c r="B65" s="758"/>
      <c r="C65" s="264" t="s">
        <v>4477</v>
      </c>
      <c r="D65" s="264"/>
      <c r="E65" s="265"/>
      <c r="F65" s="268" t="s">
        <v>4478</v>
      </c>
      <c r="G65" s="271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</row>
    <row r="66" spans="2:107" ht="15" hidden="1" customHeight="1" x14ac:dyDescent="0.25">
      <c r="B66" s="760"/>
      <c r="C66" s="264" t="s">
        <v>4479</v>
      </c>
      <c r="D66" s="264"/>
      <c r="E66" s="265" t="s">
        <v>4480</v>
      </c>
      <c r="F66" s="268" t="s">
        <v>4481</v>
      </c>
      <c r="G66" s="271">
        <f>SUM(H66:DC66)</f>
        <v>0</v>
      </c>
      <c r="H66" s="272">
        <f>H61*H64*H65</f>
        <v>0</v>
      </c>
      <c r="I66" s="272">
        <f t="shared" ref="I66:DC66" si="65">I61*I64*I65</f>
        <v>0</v>
      </c>
      <c r="J66" s="272">
        <f t="shared" si="65"/>
        <v>0</v>
      </c>
      <c r="K66" s="272">
        <f t="shared" si="65"/>
        <v>0</v>
      </c>
      <c r="L66" s="272">
        <f t="shared" si="65"/>
        <v>0</v>
      </c>
      <c r="M66" s="272">
        <f t="shared" si="65"/>
        <v>0</v>
      </c>
      <c r="N66" s="272">
        <f t="shared" si="65"/>
        <v>0</v>
      </c>
      <c r="O66" s="272">
        <f t="shared" si="65"/>
        <v>0</v>
      </c>
      <c r="P66" s="272">
        <f t="shared" si="65"/>
        <v>0</v>
      </c>
      <c r="Q66" s="272">
        <f t="shared" si="65"/>
        <v>0</v>
      </c>
      <c r="R66" s="272">
        <f t="shared" si="65"/>
        <v>0</v>
      </c>
      <c r="S66" s="272">
        <f t="shared" si="65"/>
        <v>0</v>
      </c>
      <c r="T66" s="272">
        <f t="shared" si="65"/>
        <v>0</v>
      </c>
      <c r="U66" s="272">
        <f t="shared" si="65"/>
        <v>0</v>
      </c>
      <c r="V66" s="272">
        <f t="shared" si="65"/>
        <v>0</v>
      </c>
      <c r="W66" s="272">
        <f t="shared" si="65"/>
        <v>0</v>
      </c>
      <c r="X66" s="272">
        <f t="shared" si="65"/>
        <v>0</v>
      </c>
      <c r="Y66" s="272">
        <f t="shared" si="65"/>
        <v>0</v>
      </c>
      <c r="Z66" s="272">
        <f t="shared" si="65"/>
        <v>0</v>
      </c>
      <c r="AA66" s="272">
        <f t="shared" si="65"/>
        <v>0</v>
      </c>
      <c r="AB66" s="272">
        <f t="shared" si="65"/>
        <v>0</v>
      </c>
      <c r="AC66" s="272">
        <f t="shared" si="65"/>
        <v>0</v>
      </c>
      <c r="AD66" s="272">
        <f t="shared" si="65"/>
        <v>0</v>
      </c>
      <c r="AE66" s="272">
        <f t="shared" si="65"/>
        <v>0</v>
      </c>
      <c r="AF66" s="272">
        <f t="shared" si="65"/>
        <v>0</v>
      </c>
      <c r="AG66" s="272">
        <f t="shared" si="65"/>
        <v>0</v>
      </c>
      <c r="AH66" s="272">
        <f t="shared" si="65"/>
        <v>0</v>
      </c>
      <c r="AI66" s="272">
        <f t="shared" si="65"/>
        <v>0</v>
      </c>
      <c r="AJ66" s="272">
        <f t="shared" si="65"/>
        <v>0</v>
      </c>
      <c r="AK66" s="272">
        <f t="shared" si="65"/>
        <v>0</v>
      </c>
      <c r="AL66" s="272">
        <f t="shared" si="65"/>
        <v>0</v>
      </c>
      <c r="AM66" s="272">
        <f t="shared" si="65"/>
        <v>0</v>
      </c>
      <c r="AN66" s="272">
        <f t="shared" si="65"/>
        <v>0</v>
      </c>
      <c r="AO66" s="272">
        <f t="shared" si="65"/>
        <v>0</v>
      </c>
      <c r="AP66" s="272">
        <f t="shared" si="65"/>
        <v>0</v>
      </c>
      <c r="AQ66" s="272">
        <f t="shared" si="65"/>
        <v>0</v>
      </c>
      <c r="AR66" s="272">
        <f t="shared" si="65"/>
        <v>0</v>
      </c>
      <c r="AS66" s="272">
        <f t="shared" si="65"/>
        <v>0</v>
      </c>
      <c r="AT66" s="272">
        <f t="shared" si="65"/>
        <v>0</v>
      </c>
      <c r="AU66" s="272">
        <f t="shared" si="65"/>
        <v>0</v>
      </c>
      <c r="AV66" s="272">
        <f t="shared" si="65"/>
        <v>0</v>
      </c>
      <c r="AW66" s="272">
        <f t="shared" si="65"/>
        <v>0</v>
      </c>
      <c r="AX66" s="272">
        <f t="shared" si="65"/>
        <v>0</v>
      </c>
      <c r="AY66" s="272">
        <f t="shared" si="65"/>
        <v>0</v>
      </c>
      <c r="AZ66" s="272">
        <f t="shared" si="65"/>
        <v>0</v>
      </c>
      <c r="BA66" s="272">
        <f t="shared" si="65"/>
        <v>0</v>
      </c>
      <c r="BB66" s="272">
        <f t="shared" si="65"/>
        <v>0</v>
      </c>
      <c r="BC66" s="272">
        <f t="shared" si="65"/>
        <v>0</v>
      </c>
      <c r="BD66" s="272">
        <f t="shared" si="65"/>
        <v>0</v>
      </c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>
        <f t="shared" si="65"/>
        <v>0</v>
      </c>
    </row>
    <row r="67" spans="2:107" ht="15" hidden="1" customHeight="1" x14ac:dyDescent="0.25">
      <c r="B67" s="902">
        <v>35</v>
      </c>
      <c r="C67" s="264" t="s">
        <v>4207</v>
      </c>
      <c r="D67" s="264"/>
      <c r="E67" s="273" t="s">
        <v>4208</v>
      </c>
      <c r="F67" s="276"/>
      <c r="G67" s="274" t="str">
        <f>IF(COUNTA(H67:DC67)=0,"",IF(OR(LARGE(H67:DC67,1)&gt;24,SMALL(H67:DC67,1)&lt;0),"ERRO",""))</f>
        <v/>
      </c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</row>
    <row r="68" spans="2:107" ht="15" hidden="1" customHeight="1" x14ac:dyDescent="0.25">
      <c r="B68" s="758"/>
      <c r="C68" s="275" t="s">
        <v>4209</v>
      </c>
      <c r="D68" s="275"/>
      <c r="E68" s="552" t="s">
        <v>4210</v>
      </c>
      <c r="F68" s="276"/>
      <c r="G68" s="274" t="str">
        <f>IF(COUNTA(H68:DC68)=0,"",IF(OR(LARGE(H68:DC68,1)&gt;365,SMALL(H68:DC68,1)&lt;0),"ERRO",""))</f>
        <v/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</row>
    <row r="69" spans="2:107" ht="15" hidden="1" customHeight="1" x14ac:dyDescent="0.25">
      <c r="B69" s="760"/>
      <c r="C69" s="264" t="s">
        <v>4211</v>
      </c>
      <c r="D69" s="264"/>
      <c r="E69" s="265" t="s">
        <v>4212</v>
      </c>
      <c r="F69" s="276" t="s">
        <v>4213</v>
      </c>
      <c r="G69" s="274" t="str">
        <f>IF(COUNTA(H69:DC69)=0,"",IF(OR(LARGE(H69:DC69,1)&gt;8760,SMALL(H69:DC69,1)&lt;0),"ERRO",""))</f>
        <v/>
      </c>
      <c r="H69" s="272">
        <f>H67*H68</f>
        <v>0</v>
      </c>
      <c r="I69" s="272">
        <f t="shared" ref="I69:DC69" si="66">I67*I68</f>
        <v>0</v>
      </c>
      <c r="J69" s="272">
        <f t="shared" si="66"/>
        <v>0</v>
      </c>
      <c r="K69" s="272">
        <f t="shared" si="66"/>
        <v>0</v>
      </c>
      <c r="L69" s="272">
        <f t="shared" si="66"/>
        <v>0</v>
      </c>
      <c r="M69" s="272">
        <f t="shared" si="66"/>
        <v>0</v>
      </c>
      <c r="N69" s="272">
        <f t="shared" si="66"/>
        <v>0</v>
      </c>
      <c r="O69" s="272">
        <f t="shared" si="66"/>
        <v>0</v>
      </c>
      <c r="P69" s="272">
        <f t="shared" si="66"/>
        <v>0</v>
      </c>
      <c r="Q69" s="272">
        <f t="shared" si="66"/>
        <v>0</v>
      </c>
      <c r="R69" s="272">
        <f t="shared" si="66"/>
        <v>0</v>
      </c>
      <c r="S69" s="272">
        <f t="shared" si="66"/>
        <v>0</v>
      </c>
      <c r="T69" s="272">
        <f t="shared" si="66"/>
        <v>0</v>
      </c>
      <c r="U69" s="272">
        <f t="shared" si="66"/>
        <v>0</v>
      </c>
      <c r="V69" s="272">
        <f t="shared" si="66"/>
        <v>0</v>
      </c>
      <c r="W69" s="272">
        <f t="shared" si="66"/>
        <v>0</v>
      </c>
      <c r="X69" s="272">
        <f t="shared" si="66"/>
        <v>0</v>
      </c>
      <c r="Y69" s="272">
        <f t="shared" si="66"/>
        <v>0</v>
      </c>
      <c r="Z69" s="272">
        <f t="shared" si="66"/>
        <v>0</v>
      </c>
      <c r="AA69" s="272">
        <f t="shared" si="66"/>
        <v>0</v>
      </c>
      <c r="AB69" s="272">
        <f t="shared" si="66"/>
        <v>0</v>
      </c>
      <c r="AC69" s="272">
        <f t="shared" si="66"/>
        <v>0</v>
      </c>
      <c r="AD69" s="272">
        <f t="shared" si="66"/>
        <v>0</v>
      </c>
      <c r="AE69" s="272">
        <f t="shared" si="66"/>
        <v>0</v>
      </c>
      <c r="AF69" s="272">
        <f t="shared" si="66"/>
        <v>0</v>
      </c>
      <c r="AG69" s="272">
        <f t="shared" si="66"/>
        <v>0</v>
      </c>
      <c r="AH69" s="272">
        <f t="shared" si="66"/>
        <v>0</v>
      </c>
      <c r="AI69" s="272">
        <f t="shared" si="66"/>
        <v>0</v>
      </c>
      <c r="AJ69" s="272">
        <f t="shared" si="66"/>
        <v>0</v>
      </c>
      <c r="AK69" s="272">
        <f t="shared" si="66"/>
        <v>0</v>
      </c>
      <c r="AL69" s="272">
        <f t="shared" si="66"/>
        <v>0</v>
      </c>
      <c r="AM69" s="272">
        <f t="shared" si="66"/>
        <v>0</v>
      </c>
      <c r="AN69" s="272">
        <f t="shared" si="66"/>
        <v>0</v>
      </c>
      <c r="AO69" s="272">
        <f t="shared" si="66"/>
        <v>0</v>
      </c>
      <c r="AP69" s="272">
        <f t="shared" si="66"/>
        <v>0</v>
      </c>
      <c r="AQ69" s="272">
        <f t="shared" si="66"/>
        <v>0</v>
      </c>
      <c r="AR69" s="272">
        <f t="shared" si="66"/>
        <v>0</v>
      </c>
      <c r="AS69" s="272">
        <f t="shared" si="66"/>
        <v>0</v>
      </c>
      <c r="AT69" s="272">
        <f t="shared" si="66"/>
        <v>0</v>
      </c>
      <c r="AU69" s="272">
        <f t="shared" si="66"/>
        <v>0</v>
      </c>
      <c r="AV69" s="272">
        <f t="shared" si="66"/>
        <v>0</v>
      </c>
      <c r="AW69" s="272">
        <f t="shared" si="66"/>
        <v>0</v>
      </c>
      <c r="AX69" s="272">
        <f t="shared" si="66"/>
        <v>0</v>
      </c>
      <c r="AY69" s="272">
        <f t="shared" si="66"/>
        <v>0</v>
      </c>
      <c r="AZ69" s="272">
        <f t="shared" si="66"/>
        <v>0</v>
      </c>
      <c r="BA69" s="272">
        <f t="shared" si="66"/>
        <v>0</v>
      </c>
      <c r="BB69" s="272">
        <f t="shared" si="66"/>
        <v>0</v>
      </c>
      <c r="BC69" s="272">
        <f t="shared" si="66"/>
        <v>0</v>
      </c>
      <c r="BD69" s="272">
        <f t="shared" si="66"/>
        <v>0</v>
      </c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>
        <f t="shared" si="66"/>
        <v>0</v>
      </c>
    </row>
    <row r="70" spans="2:107" ht="15" hidden="1" customHeight="1" x14ac:dyDescent="0.25">
      <c r="B70" s="902">
        <v>36</v>
      </c>
      <c r="C70" s="264" t="s">
        <v>4222</v>
      </c>
      <c r="D70" s="264"/>
      <c r="E70" s="265" t="s">
        <v>3857</v>
      </c>
      <c r="F70" s="276" t="s">
        <v>4223</v>
      </c>
      <c r="G70" s="293">
        <f>SUM(H70:DC70)</f>
        <v>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</row>
    <row r="71" spans="2:107" ht="15" hidden="1" customHeight="1" x14ac:dyDescent="0.25">
      <c r="B71" s="760"/>
      <c r="C71" s="264" t="s">
        <v>4224</v>
      </c>
      <c r="D71" s="264"/>
      <c r="E71" s="265"/>
      <c r="F71" s="276" t="s">
        <v>4225</v>
      </c>
      <c r="G71" s="274" t="str">
        <f>IF(COUNTA(H71:DC71)=0,"",IF(OR(LARGE(H71:DC71,1)&gt;1,SMALL(H71:DC71,1)&lt;0),"ERRO",""))</f>
        <v/>
      </c>
      <c r="H71" s="272">
        <f>IF(H63=0,0,H70/H63)</f>
        <v>0</v>
      </c>
      <c r="I71" s="272">
        <f t="shared" ref="I71:DC71" si="67">IF(I63=0,0,I70/I63)</f>
        <v>0</v>
      </c>
      <c r="J71" s="272">
        <f t="shared" si="67"/>
        <v>0</v>
      </c>
      <c r="K71" s="272">
        <f t="shared" si="67"/>
        <v>0</v>
      </c>
      <c r="L71" s="272">
        <f t="shared" si="67"/>
        <v>0</v>
      </c>
      <c r="M71" s="272">
        <f t="shared" si="67"/>
        <v>0</v>
      </c>
      <c r="N71" s="272">
        <f t="shared" si="67"/>
        <v>0</v>
      </c>
      <c r="O71" s="272">
        <f t="shared" si="67"/>
        <v>0</v>
      </c>
      <c r="P71" s="272">
        <f t="shared" si="67"/>
        <v>0</v>
      </c>
      <c r="Q71" s="272">
        <f t="shared" si="67"/>
        <v>0</v>
      </c>
      <c r="R71" s="272">
        <f t="shared" si="67"/>
        <v>0</v>
      </c>
      <c r="S71" s="272">
        <f t="shared" si="67"/>
        <v>0</v>
      </c>
      <c r="T71" s="272">
        <f t="shared" si="67"/>
        <v>0</v>
      </c>
      <c r="U71" s="272">
        <f t="shared" si="67"/>
        <v>0</v>
      </c>
      <c r="V71" s="272">
        <f t="shared" si="67"/>
        <v>0</v>
      </c>
      <c r="W71" s="272">
        <f t="shared" si="67"/>
        <v>0</v>
      </c>
      <c r="X71" s="272">
        <f t="shared" si="67"/>
        <v>0</v>
      </c>
      <c r="Y71" s="272">
        <f t="shared" si="67"/>
        <v>0</v>
      </c>
      <c r="Z71" s="272">
        <f t="shared" si="67"/>
        <v>0</v>
      </c>
      <c r="AA71" s="272">
        <f t="shared" si="67"/>
        <v>0</v>
      </c>
      <c r="AB71" s="272">
        <f t="shared" si="67"/>
        <v>0</v>
      </c>
      <c r="AC71" s="272">
        <f t="shared" si="67"/>
        <v>0</v>
      </c>
      <c r="AD71" s="272">
        <f t="shared" si="67"/>
        <v>0</v>
      </c>
      <c r="AE71" s="272">
        <f t="shared" si="67"/>
        <v>0</v>
      </c>
      <c r="AF71" s="272">
        <f t="shared" si="67"/>
        <v>0</v>
      </c>
      <c r="AG71" s="272">
        <f t="shared" si="67"/>
        <v>0</v>
      </c>
      <c r="AH71" s="272">
        <f t="shared" si="67"/>
        <v>0</v>
      </c>
      <c r="AI71" s="272">
        <f t="shared" si="67"/>
        <v>0</v>
      </c>
      <c r="AJ71" s="272">
        <f t="shared" si="67"/>
        <v>0</v>
      </c>
      <c r="AK71" s="272">
        <f t="shared" si="67"/>
        <v>0</v>
      </c>
      <c r="AL71" s="272">
        <f t="shared" si="67"/>
        <v>0</v>
      </c>
      <c r="AM71" s="272">
        <f t="shared" si="67"/>
        <v>0</v>
      </c>
      <c r="AN71" s="272">
        <f t="shared" si="67"/>
        <v>0</v>
      </c>
      <c r="AO71" s="272">
        <f t="shared" si="67"/>
        <v>0</v>
      </c>
      <c r="AP71" s="272">
        <f t="shared" si="67"/>
        <v>0</v>
      </c>
      <c r="AQ71" s="272">
        <f t="shared" si="67"/>
        <v>0</v>
      </c>
      <c r="AR71" s="272">
        <f t="shared" si="67"/>
        <v>0</v>
      </c>
      <c r="AS71" s="272">
        <f t="shared" si="67"/>
        <v>0</v>
      </c>
      <c r="AT71" s="272">
        <f t="shared" si="67"/>
        <v>0</v>
      </c>
      <c r="AU71" s="272">
        <f t="shared" si="67"/>
        <v>0</v>
      </c>
      <c r="AV71" s="272">
        <f t="shared" si="67"/>
        <v>0</v>
      </c>
      <c r="AW71" s="272">
        <f t="shared" si="67"/>
        <v>0</v>
      </c>
      <c r="AX71" s="272">
        <f t="shared" si="67"/>
        <v>0</v>
      </c>
      <c r="AY71" s="272">
        <f t="shared" si="67"/>
        <v>0</v>
      </c>
      <c r="AZ71" s="272">
        <f t="shared" si="67"/>
        <v>0</v>
      </c>
      <c r="BA71" s="272">
        <f t="shared" si="67"/>
        <v>0</v>
      </c>
      <c r="BB71" s="272">
        <f t="shared" si="67"/>
        <v>0</v>
      </c>
      <c r="BC71" s="272">
        <f t="shared" si="67"/>
        <v>0</v>
      </c>
      <c r="BD71" s="272">
        <f t="shared" si="67"/>
        <v>0</v>
      </c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>
        <f t="shared" si="67"/>
        <v>0</v>
      </c>
    </row>
    <row r="72" spans="2:107" ht="15" hidden="1" customHeight="1" x14ac:dyDescent="0.25">
      <c r="B72" s="259">
        <v>37</v>
      </c>
      <c r="C72" s="264" t="s">
        <v>4226</v>
      </c>
      <c r="D72" s="264"/>
      <c r="E72" s="265" t="s">
        <v>3854</v>
      </c>
      <c r="F72" s="276" t="s">
        <v>4227</v>
      </c>
      <c r="G72" s="271">
        <f>SUM(H72:DC72)</f>
        <v>0</v>
      </c>
      <c r="H72" s="277">
        <f>(H66*H69)/1000</f>
        <v>0</v>
      </c>
      <c r="I72" s="277">
        <f t="shared" ref="I72:DC72" si="68">(I66*I69)/1000</f>
        <v>0</v>
      </c>
      <c r="J72" s="277">
        <f t="shared" si="68"/>
        <v>0</v>
      </c>
      <c r="K72" s="277">
        <f t="shared" si="68"/>
        <v>0</v>
      </c>
      <c r="L72" s="277">
        <f t="shared" si="68"/>
        <v>0</v>
      </c>
      <c r="M72" s="277">
        <f t="shared" si="68"/>
        <v>0</v>
      </c>
      <c r="N72" s="277">
        <f t="shared" si="68"/>
        <v>0</v>
      </c>
      <c r="O72" s="277">
        <f t="shared" si="68"/>
        <v>0</v>
      </c>
      <c r="P72" s="277">
        <f t="shared" si="68"/>
        <v>0</v>
      </c>
      <c r="Q72" s="277">
        <f t="shared" si="68"/>
        <v>0</v>
      </c>
      <c r="R72" s="277">
        <f t="shared" si="68"/>
        <v>0</v>
      </c>
      <c r="S72" s="277">
        <f t="shared" si="68"/>
        <v>0</v>
      </c>
      <c r="T72" s="277">
        <f t="shared" si="68"/>
        <v>0</v>
      </c>
      <c r="U72" s="277">
        <f t="shared" si="68"/>
        <v>0</v>
      </c>
      <c r="V72" s="277">
        <f t="shared" si="68"/>
        <v>0</v>
      </c>
      <c r="W72" s="277">
        <f t="shared" si="68"/>
        <v>0</v>
      </c>
      <c r="X72" s="277">
        <f t="shared" si="68"/>
        <v>0</v>
      </c>
      <c r="Y72" s="277">
        <f t="shared" si="68"/>
        <v>0</v>
      </c>
      <c r="Z72" s="277">
        <f t="shared" si="68"/>
        <v>0</v>
      </c>
      <c r="AA72" s="277">
        <f t="shared" si="68"/>
        <v>0</v>
      </c>
      <c r="AB72" s="277">
        <f t="shared" si="68"/>
        <v>0</v>
      </c>
      <c r="AC72" s="277">
        <f t="shared" si="68"/>
        <v>0</v>
      </c>
      <c r="AD72" s="277">
        <f t="shared" si="68"/>
        <v>0</v>
      </c>
      <c r="AE72" s="277">
        <f t="shared" si="68"/>
        <v>0</v>
      </c>
      <c r="AF72" s="277">
        <f t="shared" si="68"/>
        <v>0</v>
      </c>
      <c r="AG72" s="277">
        <f t="shared" si="68"/>
        <v>0</v>
      </c>
      <c r="AH72" s="277">
        <f t="shared" si="68"/>
        <v>0</v>
      </c>
      <c r="AI72" s="277">
        <f t="shared" si="68"/>
        <v>0</v>
      </c>
      <c r="AJ72" s="277">
        <f t="shared" si="68"/>
        <v>0</v>
      </c>
      <c r="AK72" s="277">
        <f t="shared" si="68"/>
        <v>0</v>
      </c>
      <c r="AL72" s="277">
        <f t="shared" si="68"/>
        <v>0</v>
      </c>
      <c r="AM72" s="277">
        <f t="shared" si="68"/>
        <v>0</v>
      </c>
      <c r="AN72" s="277">
        <f t="shared" si="68"/>
        <v>0</v>
      </c>
      <c r="AO72" s="277">
        <f t="shared" si="68"/>
        <v>0</v>
      </c>
      <c r="AP72" s="277">
        <f t="shared" si="68"/>
        <v>0</v>
      </c>
      <c r="AQ72" s="277">
        <f t="shared" si="68"/>
        <v>0</v>
      </c>
      <c r="AR72" s="277">
        <f t="shared" si="68"/>
        <v>0</v>
      </c>
      <c r="AS72" s="277">
        <f t="shared" si="68"/>
        <v>0</v>
      </c>
      <c r="AT72" s="277">
        <f t="shared" si="68"/>
        <v>0</v>
      </c>
      <c r="AU72" s="277">
        <f t="shared" si="68"/>
        <v>0</v>
      </c>
      <c r="AV72" s="277">
        <f t="shared" si="68"/>
        <v>0</v>
      </c>
      <c r="AW72" s="277">
        <f t="shared" si="68"/>
        <v>0</v>
      </c>
      <c r="AX72" s="277">
        <f t="shared" si="68"/>
        <v>0</v>
      </c>
      <c r="AY72" s="277">
        <f t="shared" si="68"/>
        <v>0</v>
      </c>
      <c r="AZ72" s="277">
        <f t="shared" si="68"/>
        <v>0</v>
      </c>
      <c r="BA72" s="277">
        <f t="shared" si="68"/>
        <v>0</v>
      </c>
      <c r="BB72" s="277">
        <f t="shared" si="68"/>
        <v>0</v>
      </c>
      <c r="BC72" s="277">
        <f t="shared" si="68"/>
        <v>0</v>
      </c>
      <c r="BD72" s="277">
        <f t="shared" si="68"/>
        <v>0</v>
      </c>
      <c r="BE72" s="277"/>
      <c r="BF72" s="277"/>
      <c r="BG72" s="277"/>
      <c r="BH72" s="277"/>
      <c r="BI72" s="277"/>
      <c r="BJ72" s="277"/>
      <c r="BK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7"/>
      <c r="DB72" s="277"/>
      <c r="DC72" s="277">
        <f t="shared" si="68"/>
        <v>0</v>
      </c>
    </row>
    <row r="73" spans="2:107" ht="15" hidden="1" customHeight="1" x14ac:dyDescent="0.25">
      <c r="B73" s="259">
        <v>38</v>
      </c>
      <c r="C73" s="264" t="s">
        <v>4260</v>
      </c>
      <c r="D73" s="264"/>
      <c r="E73" s="265" t="s">
        <v>3912</v>
      </c>
      <c r="F73" s="276" t="s">
        <v>4261</v>
      </c>
      <c r="G73" s="278">
        <f t="shared" ref="G73:AL73" si="69">IF(OR(G21=0,G72=0),0,(G72-G21)/G21)</f>
        <v>0</v>
      </c>
      <c r="H73" s="279">
        <f t="shared" si="69"/>
        <v>0</v>
      </c>
      <c r="I73" s="279">
        <f t="shared" si="69"/>
        <v>0</v>
      </c>
      <c r="J73" s="279">
        <f t="shared" si="69"/>
        <v>0</v>
      </c>
      <c r="K73" s="279">
        <f t="shared" si="69"/>
        <v>0</v>
      </c>
      <c r="L73" s="279">
        <f t="shared" si="69"/>
        <v>0</v>
      </c>
      <c r="M73" s="279">
        <f t="shared" si="69"/>
        <v>0</v>
      </c>
      <c r="N73" s="279">
        <f t="shared" si="69"/>
        <v>0</v>
      </c>
      <c r="O73" s="279">
        <f t="shared" si="69"/>
        <v>0</v>
      </c>
      <c r="P73" s="279">
        <f t="shared" si="69"/>
        <v>0</v>
      </c>
      <c r="Q73" s="279">
        <f t="shared" si="69"/>
        <v>0</v>
      </c>
      <c r="R73" s="279">
        <f t="shared" si="69"/>
        <v>0</v>
      </c>
      <c r="S73" s="279">
        <f t="shared" si="69"/>
        <v>0</v>
      </c>
      <c r="T73" s="279">
        <f t="shared" si="69"/>
        <v>0</v>
      </c>
      <c r="U73" s="279">
        <f t="shared" si="69"/>
        <v>0</v>
      </c>
      <c r="V73" s="279">
        <f t="shared" si="69"/>
        <v>0</v>
      </c>
      <c r="W73" s="279">
        <f t="shared" si="69"/>
        <v>0</v>
      </c>
      <c r="X73" s="279">
        <f t="shared" si="69"/>
        <v>0</v>
      </c>
      <c r="Y73" s="279">
        <f t="shared" si="69"/>
        <v>0</v>
      </c>
      <c r="Z73" s="279">
        <f t="shared" si="69"/>
        <v>0</v>
      </c>
      <c r="AA73" s="279">
        <f t="shared" si="69"/>
        <v>0</v>
      </c>
      <c r="AB73" s="279">
        <f t="shared" si="69"/>
        <v>0</v>
      </c>
      <c r="AC73" s="279">
        <f t="shared" si="69"/>
        <v>0</v>
      </c>
      <c r="AD73" s="279">
        <f t="shared" si="69"/>
        <v>0</v>
      </c>
      <c r="AE73" s="279">
        <f t="shared" si="69"/>
        <v>0</v>
      </c>
      <c r="AF73" s="279">
        <f t="shared" si="69"/>
        <v>0</v>
      </c>
      <c r="AG73" s="279">
        <f t="shared" si="69"/>
        <v>0</v>
      </c>
      <c r="AH73" s="279">
        <f t="shared" si="69"/>
        <v>0</v>
      </c>
      <c r="AI73" s="279">
        <f t="shared" si="69"/>
        <v>0</v>
      </c>
      <c r="AJ73" s="279">
        <f t="shared" si="69"/>
        <v>0</v>
      </c>
      <c r="AK73" s="279">
        <f t="shared" si="69"/>
        <v>0</v>
      </c>
      <c r="AL73" s="279">
        <f t="shared" si="69"/>
        <v>0</v>
      </c>
      <c r="AM73" s="279">
        <f t="shared" ref="AM73:BD73" si="70">IF(OR(AM21=0,AM72=0),0,(AM72-AM21)/AM21)</f>
        <v>0</v>
      </c>
      <c r="AN73" s="279">
        <f t="shared" si="70"/>
        <v>0</v>
      </c>
      <c r="AO73" s="279">
        <f t="shared" si="70"/>
        <v>0</v>
      </c>
      <c r="AP73" s="279">
        <f t="shared" si="70"/>
        <v>0</v>
      </c>
      <c r="AQ73" s="279">
        <f t="shared" si="70"/>
        <v>0</v>
      </c>
      <c r="AR73" s="279">
        <f t="shared" si="70"/>
        <v>0</v>
      </c>
      <c r="AS73" s="279">
        <f t="shared" si="70"/>
        <v>0</v>
      </c>
      <c r="AT73" s="279">
        <f t="shared" si="70"/>
        <v>0</v>
      </c>
      <c r="AU73" s="279">
        <f t="shared" si="70"/>
        <v>0</v>
      </c>
      <c r="AV73" s="279">
        <f t="shared" si="70"/>
        <v>0</v>
      </c>
      <c r="AW73" s="279">
        <f t="shared" si="70"/>
        <v>0</v>
      </c>
      <c r="AX73" s="279">
        <f t="shared" si="70"/>
        <v>0</v>
      </c>
      <c r="AY73" s="279">
        <f t="shared" si="70"/>
        <v>0</v>
      </c>
      <c r="AZ73" s="279">
        <f t="shared" si="70"/>
        <v>0</v>
      </c>
      <c r="BA73" s="279">
        <f t="shared" si="70"/>
        <v>0</v>
      </c>
      <c r="BB73" s="279">
        <f t="shared" si="70"/>
        <v>0</v>
      </c>
      <c r="BC73" s="279">
        <f t="shared" si="70"/>
        <v>0</v>
      </c>
      <c r="BD73" s="279">
        <f t="shared" si="70"/>
        <v>0</v>
      </c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279"/>
      <c r="BP73" s="279"/>
      <c r="BQ73" s="279"/>
      <c r="BR73" s="279"/>
      <c r="BS73" s="279"/>
      <c r="BT73" s="279"/>
      <c r="BU73" s="279"/>
      <c r="BV73" s="279"/>
      <c r="BW73" s="279"/>
      <c r="BX73" s="279"/>
      <c r="BY73" s="279"/>
      <c r="BZ73" s="279"/>
      <c r="CA73" s="279"/>
      <c r="CB73" s="279"/>
      <c r="CC73" s="279"/>
      <c r="CD73" s="279"/>
      <c r="CE73" s="279"/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>
        <f>IF(OR(DC21=0,DC72=0),0,(DC72-DC21)/DC21)</f>
        <v>0</v>
      </c>
    </row>
    <row r="74" spans="2:107" ht="15" hidden="1" customHeight="1" x14ac:dyDescent="0.25">
      <c r="B74" s="259">
        <v>39</v>
      </c>
      <c r="C74" s="264" t="s">
        <v>4228</v>
      </c>
      <c r="D74" s="264"/>
      <c r="E74" s="265" t="s">
        <v>3857</v>
      </c>
      <c r="F74" s="276" t="s">
        <v>4229</v>
      </c>
      <c r="G74" s="271">
        <f>SUM(H74:DC74)</f>
        <v>0</v>
      </c>
      <c r="H74" s="277">
        <f>H63*H71</f>
        <v>0</v>
      </c>
      <c r="I74" s="277">
        <f t="shared" ref="I74:DC74" si="71">I63*I71</f>
        <v>0</v>
      </c>
      <c r="J74" s="277">
        <f t="shared" si="71"/>
        <v>0</v>
      </c>
      <c r="K74" s="277">
        <f t="shared" si="71"/>
        <v>0</v>
      </c>
      <c r="L74" s="277">
        <f t="shared" si="71"/>
        <v>0</v>
      </c>
      <c r="M74" s="277">
        <f t="shared" si="71"/>
        <v>0</v>
      </c>
      <c r="N74" s="277">
        <f t="shared" si="71"/>
        <v>0</v>
      </c>
      <c r="O74" s="277">
        <f t="shared" si="71"/>
        <v>0</v>
      </c>
      <c r="P74" s="277">
        <f t="shared" si="71"/>
        <v>0</v>
      </c>
      <c r="Q74" s="277">
        <f t="shared" si="71"/>
        <v>0</v>
      </c>
      <c r="R74" s="277">
        <f t="shared" si="71"/>
        <v>0</v>
      </c>
      <c r="S74" s="277">
        <f t="shared" si="71"/>
        <v>0</v>
      </c>
      <c r="T74" s="277">
        <f t="shared" si="71"/>
        <v>0</v>
      </c>
      <c r="U74" s="277">
        <f t="shared" si="71"/>
        <v>0</v>
      </c>
      <c r="V74" s="277">
        <f t="shared" si="71"/>
        <v>0</v>
      </c>
      <c r="W74" s="277">
        <f t="shared" si="71"/>
        <v>0</v>
      </c>
      <c r="X74" s="277">
        <f t="shared" si="71"/>
        <v>0</v>
      </c>
      <c r="Y74" s="277">
        <f t="shared" si="71"/>
        <v>0</v>
      </c>
      <c r="Z74" s="277">
        <f t="shared" si="71"/>
        <v>0</v>
      </c>
      <c r="AA74" s="277">
        <f t="shared" si="71"/>
        <v>0</v>
      </c>
      <c r="AB74" s="277">
        <f t="shared" si="71"/>
        <v>0</v>
      </c>
      <c r="AC74" s="277">
        <f t="shared" si="71"/>
        <v>0</v>
      </c>
      <c r="AD74" s="277">
        <f t="shared" si="71"/>
        <v>0</v>
      </c>
      <c r="AE74" s="277">
        <f t="shared" si="71"/>
        <v>0</v>
      </c>
      <c r="AF74" s="277">
        <f t="shared" si="71"/>
        <v>0</v>
      </c>
      <c r="AG74" s="277">
        <f t="shared" si="71"/>
        <v>0</v>
      </c>
      <c r="AH74" s="277">
        <f t="shared" si="71"/>
        <v>0</v>
      </c>
      <c r="AI74" s="277">
        <f t="shared" si="71"/>
        <v>0</v>
      </c>
      <c r="AJ74" s="277">
        <f t="shared" si="71"/>
        <v>0</v>
      </c>
      <c r="AK74" s="277">
        <f t="shared" si="71"/>
        <v>0</v>
      </c>
      <c r="AL74" s="277">
        <f t="shared" si="71"/>
        <v>0</v>
      </c>
      <c r="AM74" s="277">
        <f t="shared" si="71"/>
        <v>0</v>
      </c>
      <c r="AN74" s="277">
        <f t="shared" si="71"/>
        <v>0</v>
      </c>
      <c r="AO74" s="277">
        <f t="shared" si="71"/>
        <v>0</v>
      </c>
      <c r="AP74" s="277">
        <f t="shared" si="71"/>
        <v>0</v>
      </c>
      <c r="AQ74" s="277">
        <f t="shared" si="71"/>
        <v>0</v>
      </c>
      <c r="AR74" s="277">
        <f t="shared" si="71"/>
        <v>0</v>
      </c>
      <c r="AS74" s="277">
        <f t="shared" si="71"/>
        <v>0</v>
      </c>
      <c r="AT74" s="277">
        <f t="shared" si="71"/>
        <v>0</v>
      </c>
      <c r="AU74" s="277">
        <f t="shared" si="71"/>
        <v>0</v>
      </c>
      <c r="AV74" s="277">
        <f t="shared" si="71"/>
        <v>0</v>
      </c>
      <c r="AW74" s="277">
        <f t="shared" si="71"/>
        <v>0</v>
      </c>
      <c r="AX74" s="277">
        <f t="shared" si="71"/>
        <v>0</v>
      </c>
      <c r="AY74" s="277">
        <f t="shared" si="71"/>
        <v>0</v>
      </c>
      <c r="AZ74" s="277">
        <f t="shared" si="71"/>
        <v>0</v>
      </c>
      <c r="BA74" s="277">
        <f t="shared" si="71"/>
        <v>0</v>
      </c>
      <c r="BB74" s="277">
        <f t="shared" si="71"/>
        <v>0</v>
      </c>
      <c r="BC74" s="277">
        <f t="shared" si="71"/>
        <v>0</v>
      </c>
      <c r="BD74" s="277">
        <f t="shared" si="71"/>
        <v>0</v>
      </c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7"/>
      <c r="DB74" s="277"/>
      <c r="DC74" s="277">
        <f t="shared" si="71"/>
        <v>0</v>
      </c>
    </row>
    <row r="75" spans="2:107" ht="15" hidden="1" customHeight="1" x14ac:dyDescent="0.25">
      <c r="B75" s="259">
        <v>40</v>
      </c>
      <c r="C75" s="264" t="s">
        <v>4262</v>
      </c>
      <c r="D75" s="264"/>
      <c r="E75" s="265" t="s">
        <v>3912</v>
      </c>
      <c r="F75" s="276" t="s">
        <v>4263</v>
      </c>
      <c r="G75" s="278">
        <f t="shared" ref="G75:AL75" si="72">IF(OR(G22=0,G74=0),0,(G74-G22)/G22)</f>
        <v>0</v>
      </c>
      <c r="H75" s="279">
        <f t="shared" si="72"/>
        <v>0</v>
      </c>
      <c r="I75" s="279">
        <f t="shared" si="72"/>
        <v>0</v>
      </c>
      <c r="J75" s="279">
        <f t="shared" si="72"/>
        <v>0</v>
      </c>
      <c r="K75" s="279">
        <f t="shared" si="72"/>
        <v>0</v>
      </c>
      <c r="L75" s="279">
        <f t="shared" si="72"/>
        <v>0</v>
      </c>
      <c r="M75" s="279">
        <f t="shared" si="72"/>
        <v>0</v>
      </c>
      <c r="N75" s="279">
        <f t="shared" si="72"/>
        <v>0</v>
      </c>
      <c r="O75" s="279">
        <f t="shared" si="72"/>
        <v>0</v>
      </c>
      <c r="P75" s="279">
        <f t="shared" si="72"/>
        <v>0</v>
      </c>
      <c r="Q75" s="279">
        <f t="shared" si="72"/>
        <v>0</v>
      </c>
      <c r="R75" s="279">
        <f t="shared" si="72"/>
        <v>0</v>
      </c>
      <c r="S75" s="279">
        <f t="shared" si="72"/>
        <v>0</v>
      </c>
      <c r="T75" s="279">
        <f t="shared" si="72"/>
        <v>0</v>
      </c>
      <c r="U75" s="279">
        <f t="shared" si="72"/>
        <v>0</v>
      </c>
      <c r="V75" s="279">
        <f t="shared" si="72"/>
        <v>0</v>
      </c>
      <c r="W75" s="279">
        <f t="shared" si="72"/>
        <v>0</v>
      </c>
      <c r="X75" s="279">
        <f t="shared" si="72"/>
        <v>0</v>
      </c>
      <c r="Y75" s="279">
        <f t="shared" si="72"/>
        <v>0</v>
      </c>
      <c r="Z75" s="279">
        <f t="shared" si="72"/>
        <v>0</v>
      </c>
      <c r="AA75" s="279">
        <f t="shared" si="72"/>
        <v>0</v>
      </c>
      <c r="AB75" s="279">
        <f t="shared" si="72"/>
        <v>0</v>
      </c>
      <c r="AC75" s="279">
        <f t="shared" si="72"/>
        <v>0</v>
      </c>
      <c r="AD75" s="279">
        <f t="shared" si="72"/>
        <v>0</v>
      </c>
      <c r="AE75" s="279">
        <f t="shared" si="72"/>
        <v>0</v>
      </c>
      <c r="AF75" s="279">
        <f t="shared" si="72"/>
        <v>0</v>
      </c>
      <c r="AG75" s="279">
        <f t="shared" si="72"/>
        <v>0</v>
      </c>
      <c r="AH75" s="279">
        <f t="shared" si="72"/>
        <v>0</v>
      </c>
      <c r="AI75" s="279">
        <f t="shared" si="72"/>
        <v>0</v>
      </c>
      <c r="AJ75" s="279">
        <f t="shared" si="72"/>
        <v>0</v>
      </c>
      <c r="AK75" s="279">
        <f t="shared" si="72"/>
        <v>0</v>
      </c>
      <c r="AL75" s="279">
        <f t="shared" si="72"/>
        <v>0</v>
      </c>
      <c r="AM75" s="279">
        <f t="shared" ref="AM75:BD75" si="73">IF(OR(AM22=0,AM74=0),0,(AM74-AM22)/AM22)</f>
        <v>0</v>
      </c>
      <c r="AN75" s="279">
        <f t="shared" si="73"/>
        <v>0</v>
      </c>
      <c r="AO75" s="279">
        <f t="shared" si="73"/>
        <v>0</v>
      </c>
      <c r="AP75" s="279">
        <f t="shared" si="73"/>
        <v>0</v>
      </c>
      <c r="AQ75" s="279">
        <f t="shared" si="73"/>
        <v>0</v>
      </c>
      <c r="AR75" s="279">
        <f t="shared" si="73"/>
        <v>0</v>
      </c>
      <c r="AS75" s="279">
        <f t="shared" si="73"/>
        <v>0</v>
      </c>
      <c r="AT75" s="279">
        <f t="shared" si="73"/>
        <v>0</v>
      </c>
      <c r="AU75" s="279">
        <f t="shared" si="73"/>
        <v>0</v>
      </c>
      <c r="AV75" s="279">
        <f t="shared" si="73"/>
        <v>0</v>
      </c>
      <c r="AW75" s="279">
        <f t="shared" si="73"/>
        <v>0</v>
      </c>
      <c r="AX75" s="279">
        <f t="shared" si="73"/>
        <v>0</v>
      </c>
      <c r="AY75" s="279">
        <f t="shared" si="73"/>
        <v>0</v>
      </c>
      <c r="AZ75" s="279">
        <f t="shared" si="73"/>
        <v>0</v>
      </c>
      <c r="BA75" s="279">
        <f t="shared" si="73"/>
        <v>0</v>
      </c>
      <c r="BB75" s="279">
        <f t="shared" si="73"/>
        <v>0</v>
      </c>
      <c r="BC75" s="279">
        <f t="shared" si="73"/>
        <v>0</v>
      </c>
      <c r="BD75" s="279">
        <f t="shared" si="73"/>
        <v>0</v>
      </c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279"/>
      <c r="BU75" s="279"/>
      <c r="BV75" s="279"/>
      <c r="BW75" s="279"/>
      <c r="BX75" s="279"/>
      <c r="BY75" s="279"/>
      <c r="BZ75" s="279"/>
      <c r="CA75" s="279"/>
      <c r="CB75" s="279"/>
      <c r="CC75" s="279"/>
      <c r="CD75" s="279"/>
      <c r="CE75" s="279"/>
      <c r="CF75" s="279"/>
      <c r="CG75" s="279"/>
      <c r="CH75" s="279"/>
      <c r="CI75" s="279"/>
      <c r="CJ75" s="279"/>
      <c r="CK75" s="279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DA75" s="279"/>
      <c r="DB75" s="279"/>
      <c r="DC75" s="279">
        <f>IF(OR(DC22=0,DC74=0),0,(DC74-DC22)/DC22)</f>
        <v>0</v>
      </c>
    </row>
    <row r="76" spans="2:107" ht="15" hidden="1" customHeight="1" x14ac:dyDescent="0.25"/>
    <row r="77" spans="2:107" ht="15" hidden="1" customHeight="1" x14ac:dyDescent="0.25">
      <c r="B77" s="858" t="s">
        <v>4482</v>
      </c>
      <c r="C77" s="859"/>
      <c r="D77" s="859"/>
      <c r="E77" s="859"/>
      <c r="F77" s="859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58"/>
    </row>
    <row r="78" spans="2:107" s="103" customFormat="1" ht="15" hidden="1" customHeight="1" x14ac:dyDescent="0.25">
      <c r="B78" s="259"/>
      <c r="C78" s="260"/>
      <c r="D78" s="260"/>
      <c r="E78" s="260"/>
      <c r="F78" s="261"/>
      <c r="G78" s="262" t="s">
        <v>76</v>
      </c>
      <c r="H78" s="263" t="s">
        <v>4352</v>
      </c>
      <c r="I78" s="263" t="s">
        <v>4353</v>
      </c>
      <c r="J78" s="263" t="s">
        <v>4354</v>
      </c>
      <c r="K78" s="263" t="s">
        <v>4355</v>
      </c>
      <c r="L78" s="263" t="s">
        <v>4356</v>
      </c>
      <c r="M78" s="263" t="s">
        <v>4357</v>
      </c>
      <c r="N78" s="263" t="s">
        <v>4358</v>
      </c>
      <c r="O78" s="263" t="s">
        <v>4359</v>
      </c>
      <c r="P78" s="263" t="s">
        <v>4360</v>
      </c>
      <c r="Q78" s="263" t="s">
        <v>4361</v>
      </c>
      <c r="R78" s="263" t="s">
        <v>4362</v>
      </c>
      <c r="S78" s="263" t="s">
        <v>4363</v>
      </c>
      <c r="T78" s="263" t="s">
        <v>4364</v>
      </c>
      <c r="U78" s="263" t="s">
        <v>4365</v>
      </c>
      <c r="V78" s="263" t="s">
        <v>4366</v>
      </c>
      <c r="W78" s="263" t="s">
        <v>4367</v>
      </c>
      <c r="X78" s="263" t="s">
        <v>4368</v>
      </c>
      <c r="Y78" s="263" t="s">
        <v>4369</v>
      </c>
      <c r="Z78" s="263" t="s">
        <v>4370</v>
      </c>
      <c r="AA78" s="263" t="s">
        <v>4371</v>
      </c>
      <c r="AB78" s="263" t="s">
        <v>4372</v>
      </c>
      <c r="AC78" s="263" t="s">
        <v>4373</v>
      </c>
      <c r="AD78" s="263" t="s">
        <v>4374</v>
      </c>
      <c r="AE78" s="263" t="s">
        <v>4375</v>
      </c>
      <c r="AF78" s="263" t="s">
        <v>4376</v>
      </c>
      <c r="AG78" s="263" t="s">
        <v>4377</v>
      </c>
      <c r="AH78" s="263" t="s">
        <v>4378</v>
      </c>
      <c r="AI78" s="263" t="s">
        <v>4379</v>
      </c>
      <c r="AJ78" s="263" t="s">
        <v>4380</v>
      </c>
      <c r="AK78" s="263" t="s">
        <v>4381</v>
      </c>
      <c r="AL78" s="263" t="s">
        <v>4382</v>
      </c>
      <c r="AM78" s="263" t="s">
        <v>4383</v>
      </c>
      <c r="AN78" s="263" t="s">
        <v>4384</v>
      </c>
      <c r="AO78" s="263" t="s">
        <v>4385</v>
      </c>
      <c r="AP78" s="263" t="s">
        <v>4386</v>
      </c>
      <c r="AQ78" s="263" t="s">
        <v>4387</v>
      </c>
      <c r="AR78" s="263" t="s">
        <v>4388</v>
      </c>
      <c r="AS78" s="263" t="s">
        <v>4389</v>
      </c>
      <c r="AT78" s="263" t="s">
        <v>4390</v>
      </c>
      <c r="AU78" s="263" t="s">
        <v>4391</v>
      </c>
      <c r="AV78" s="263" t="s">
        <v>4392</v>
      </c>
      <c r="AW78" s="263" t="s">
        <v>4393</v>
      </c>
      <c r="AX78" s="263" t="s">
        <v>4394</v>
      </c>
      <c r="AY78" s="263" t="s">
        <v>4395</v>
      </c>
      <c r="AZ78" s="263" t="s">
        <v>4396</v>
      </c>
      <c r="BA78" s="263" t="s">
        <v>4397</v>
      </c>
      <c r="BB78" s="263" t="s">
        <v>4398</v>
      </c>
      <c r="BC78" s="263" t="s">
        <v>4399</v>
      </c>
      <c r="BD78" s="263" t="s">
        <v>4400</v>
      </c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 t="s">
        <v>4401</v>
      </c>
    </row>
    <row r="79" spans="2:107" ht="15" hidden="1" customHeight="1" x14ac:dyDescent="0.25">
      <c r="B79" s="259">
        <v>41</v>
      </c>
      <c r="C79" s="264" t="s">
        <v>4452</v>
      </c>
      <c r="D79" s="264"/>
      <c r="E79" s="273" t="s">
        <v>4453</v>
      </c>
      <c r="F79" s="268" t="s">
        <v>4266</v>
      </c>
      <c r="G79" s="269">
        <f>SUM(H79:DC79)</f>
        <v>0</v>
      </c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</row>
    <row r="80" spans="2:107" ht="15" hidden="1" customHeight="1" x14ac:dyDescent="0.25">
      <c r="B80" s="259">
        <v>42</v>
      </c>
      <c r="C80" s="264" t="s">
        <v>4256</v>
      </c>
      <c r="D80" s="264"/>
      <c r="E80" s="265"/>
      <c r="F80" s="268" t="s">
        <v>4265</v>
      </c>
      <c r="G80" s="269">
        <f>SUM(H80:DC80)</f>
        <v>0</v>
      </c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</row>
    <row r="81" spans="2:107" ht="15" hidden="1" customHeight="1" x14ac:dyDescent="0.25">
      <c r="B81" s="902">
        <v>43</v>
      </c>
      <c r="C81" s="264" t="s">
        <v>4473</v>
      </c>
      <c r="D81" s="264"/>
      <c r="E81" s="265" t="s">
        <v>3857</v>
      </c>
      <c r="F81" s="268" t="s">
        <v>4483</v>
      </c>
      <c r="G81" s="271">
        <f>SUM(H81:DC81)</f>
        <v>0</v>
      </c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</row>
    <row r="82" spans="2:107" ht="15" hidden="1" customHeight="1" x14ac:dyDescent="0.25">
      <c r="B82" s="760"/>
      <c r="C82" s="264" t="s">
        <v>4331</v>
      </c>
      <c r="D82" s="264"/>
      <c r="E82" s="265" t="s">
        <v>3857</v>
      </c>
      <c r="F82" s="268" t="s">
        <v>4464</v>
      </c>
      <c r="G82" s="271">
        <f>SUM(H82:DC82)</f>
        <v>0</v>
      </c>
      <c r="H82" s="272">
        <f>(H80*H81)/1000</f>
        <v>0</v>
      </c>
      <c r="I82" s="272">
        <f t="shared" ref="I82:DC82" si="74">(I80*I81)/1000</f>
        <v>0</v>
      </c>
      <c r="J82" s="272">
        <f t="shared" si="74"/>
        <v>0</v>
      </c>
      <c r="K82" s="272">
        <f t="shared" si="74"/>
        <v>0</v>
      </c>
      <c r="L82" s="272">
        <f t="shared" si="74"/>
        <v>0</v>
      </c>
      <c r="M82" s="272">
        <f t="shared" si="74"/>
        <v>0</v>
      </c>
      <c r="N82" s="272">
        <f t="shared" si="74"/>
        <v>0</v>
      </c>
      <c r="O82" s="272">
        <f t="shared" si="74"/>
        <v>0</v>
      </c>
      <c r="P82" s="272">
        <f t="shared" si="74"/>
        <v>0</v>
      </c>
      <c r="Q82" s="272">
        <f t="shared" si="74"/>
        <v>0</v>
      </c>
      <c r="R82" s="272">
        <f t="shared" si="74"/>
        <v>0</v>
      </c>
      <c r="S82" s="272">
        <f t="shared" si="74"/>
        <v>0</v>
      </c>
      <c r="T82" s="272">
        <f t="shared" si="74"/>
        <v>0</v>
      </c>
      <c r="U82" s="272">
        <f t="shared" si="74"/>
        <v>0</v>
      </c>
      <c r="V82" s="272">
        <f t="shared" si="74"/>
        <v>0</v>
      </c>
      <c r="W82" s="272">
        <f t="shared" si="74"/>
        <v>0</v>
      </c>
      <c r="X82" s="272">
        <f t="shared" si="74"/>
        <v>0</v>
      </c>
      <c r="Y82" s="272">
        <f t="shared" si="74"/>
        <v>0</v>
      </c>
      <c r="Z82" s="272">
        <f t="shared" si="74"/>
        <v>0</v>
      </c>
      <c r="AA82" s="272">
        <f t="shared" si="74"/>
        <v>0</v>
      </c>
      <c r="AB82" s="272">
        <f t="shared" si="74"/>
        <v>0</v>
      </c>
      <c r="AC82" s="272">
        <f t="shared" si="74"/>
        <v>0</v>
      </c>
      <c r="AD82" s="272">
        <f t="shared" si="74"/>
        <v>0</v>
      </c>
      <c r="AE82" s="272">
        <f t="shared" si="74"/>
        <v>0</v>
      </c>
      <c r="AF82" s="272">
        <f t="shared" si="74"/>
        <v>0</v>
      </c>
      <c r="AG82" s="272">
        <f t="shared" si="74"/>
        <v>0</v>
      </c>
      <c r="AH82" s="272">
        <f t="shared" si="74"/>
        <v>0</v>
      </c>
      <c r="AI82" s="272">
        <f t="shared" si="74"/>
        <v>0</v>
      </c>
      <c r="AJ82" s="272">
        <f t="shared" si="74"/>
        <v>0</v>
      </c>
      <c r="AK82" s="272">
        <f t="shared" si="74"/>
        <v>0</v>
      </c>
      <c r="AL82" s="272">
        <f t="shared" si="74"/>
        <v>0</v>
      </c>
      <c r="AM82" s="272">
        <f t="shared" si="74"/>
        <v>0</v>
      </c>
      <c r="AN82" s="272">
        <f t="shared" si="74"/>
        <v>0</v>
      </c>
      <c r="AO82" s="272">
        <f t="shared" si="74"/>
        <v>0</v>
      </c>
      <c r="AP82" s="272">
        <f t="shared" si="74"/>
        <v>0</v>
      </c>
      <c r="AQ82" s="272">
        <f t="shared" si="74"/>
        <v>0</v>
      </c>
      <c r="AR82" s="272">
        <f t="shared" si="74"/>
        <v>0</v>
      </c>
      <c r="AS82" s="272">
        <f t="shared" si="74"/>
        <v>0</v>
      </c>
      <c r="AT82" s="272">
        <f t="shared" si="74"/>
        <v>0</v>
      </c>
      <c r="AU82" s="272">
        <f t="shared" si="74"/>
        <v>0</v>
      </c>
      <c r="AV82" s="272">
        <f t="shared" si="74"/>
        <v>0</v>
      </c>
      <c r="AW82" s="272">
        <f t="shared" si="74"/>
        <v>0</v>
      </c>
      <c r="AX82" s="272">
        <f t="shared" si="74"/>
        <v>0</v>
      </c>
      <c r="AY82" s="272">
        <f t="shared" si="74"/>
        <v>0</v>
      </c>
      <c r="AZ82" s="272">
        <f t="shared" si="74"/>
        <v>0</v>
      </c>
      <c r="BA82" s="272">
        <f t="shared" si="74"/>
        <v>0</v>
      </c>
      <c r="BB82" s="272">
        <f t="shared" si="74"/>
        <v>0</v>
      </c>
      <c r="BC82" s="272">
        <f t="shared" si="74"/>
        <v>0</v>
      </c>
      <c r="BD82" s="272">
        <f t="shared" si="74"/>
        <v>0</v>
      </c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/>
      <c r="DC82" s="272">
        <f t="shared" si="74"/>
        <v>0</v>
      </c>
    </row>
    <row r="83" spans="2:107" ht="15" hidden="1" customHeight="1" x14ac:dyDescent="0.25">
      <c r="B83" s="902">
        <v>44</v>
      </c>
      <c r="C83" s="264" t="s">
        <v>4475</v>
      </c>
      <c r="D83" s="264"/>
      <c r="E83" s="265"/>
      <c r="F83" s="268" t="s">
        <v>4484</v>
      </c>
      <c r="G83" s="271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</row>
    <row r="84" spans="2:107" ht="15" hidden="1" customHeight="1" x14ac:dyDescent="0.25">
      <c r="B84" s="758"/>
      <c r="C84" s="264" t="s">
        <v>4477</v>
      </c>
      <c r="D84" s="264"/>
      <c r="E84" s="265"/>
      <c r="F84" s="268" t="s">
        <v>4485</v>
      </c>
      <c r="G84" s="271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</row>
    <row r="85" spans="2:107" ht="15" hidden="1" customHeight="1" x14ac:dyDescent="0.25">
      <c r="B85" s="760"/>
      <c r="C85" s="264" t="s">
        <v>4479</v>
      </c>
      <c r="D85" s="264"/>
      <c r="E85" s="265" t="s">
        <v>4480</v>
      </c>
      <c r="F85" s="268" t="s">
        <v>4486</v>
      </c>
      <c r="G85" s="271">
        <f>SUM(H85:DC85)</f>
        <v>0</v>
      </c>
      <c r="H85" s="272">
        <f>H80*H83*H84</f>
        <v>0</v>
      </c>
      <c r="I85" s="272">
        <f t="shared" ref="I85:DC85" si="75">I80*I83*I84</f>
        <v>0</v>
      </c>
      <c r="J85" s="272">
        <f t="shared" si="75"/>
        <v>0</v>
      </c>
      <c r="K85" s="272">
        <f t="shared" si="75"/>
        <v>0</v>
      </c>
      <c r="L85" s="272">
        <f t="shared" si="75"/>
        <v>0</v>
      </c>
      <c r="M85" s="272">
        <f t="shared" si="75"/>
        <v>0</v>
      </c>
      <c r="N85" s="272">
        <f t="shared" si="75"/>
        <v>0</v>
      </c>
      <c r="O85" s="272">
        <f t="shared" si="75"/>
        <v>0</v>
      </c>
      <c r="P85" s="272">
        <f t="shared" si="75"/>
        <v>0</v>
      </c>
      <c r="Q85" s="272">
        <f t="shared" si="75"/>
        <v>0</v>
      </c>
      <c r="R85" s="272">
        <f t="shared" si="75"/>
        <v>0</v>
      </c>
      <c r="S85" s="272">
        <f t="shared" si="75"/>
        <v>0</v>
      </c>
      <c r="T85" s="272">
        <f t="shared" si="75"/>
        <v>0</v>
      </c>
      <c r="U85" s="272">
        <f t="shared" si="75"/>
        <v>0</v>
      </c>
      <c r="V85" s="272">
        <f t="shared" si="75"/>
        <v>0</v>
      </c>
      <c r="W85" s="272">
        <f t="shared" si="75"/>
        <v>0</v>
      </c>
      <c r="X85" s="272">
        <f t="shared" si="75"/>
        <v>0</v>
      </c>
      <c r="Y85" s="272">
        <f t="shared" si="75"/>
        <v>0</v>
      </c>
      <c r="Z85" s="272">
        <f t="shared" si="75"/>
        <v>0</v>
      </c>
      <c r="AA85" s="272">
        <f t="shared" si="75"/>
        <v>0</v>
      </c>
      <c r="AB85" s="272">
        <f t="shared" si="75"/>
        <v>0</v>
      </c>
      <c r="AC85" s="272">
        <f t="shared" si="75"/>
        <v>0</v>
      </c>
      <c r="AD85" s="272">
        <f t="shared" si="75"/>
        <v>0</v>
      </c>
      <c r="AE85" s="272">
        <f t="shared" si="75"/>
        <v>0</v>
      </c>
      <c r="AF85" s="272">
        <f t="shared" si="75"/>
        <v>0</v>
      </c>
      <c r="AG85" s="272">
        <f t="shared" si="75"/>
        <v>0</v>
      </c>
      <c r="AH85" s="272">
        <f t="shared" si="75"/>
        <v>0</v>
      </c>
      <c r="AI85" s="272">
        <f t="shared" si="75"/>
        <v>0</v>
      </c>
      <c r="AJ85" s="272">
        <f t="shared" si="75"/>
        <v>0</v>
      </c>
      <c r="AK85" s="272">
        <f t="shared" si="75"/>
        <v>0</v>
      </c>
      <c r="AL85" s="272">
        <f t="shared" si="75"/>
        <v>0</v>
      </c>
      <c r="AM85" s="272">
        <f t="shared" si="75"/>
        <v>0</v>
      </c>
      <c r="AN85" s="272">
        <f t="shared" si="75"/>
        <v>0</v>
      </c>
      <c r="AO85" s="272">
        <f t="shared" si="75"/>
        <v>0</v>
      </c>
      <c r="AP85" s="272">
        <f t="shared" si="75"/>
        <v>0</v>
      </c>
      <c r="AQ85" s="272">
        <f t="shared" si="75"/>
        <v>0</v>
      </c>
      <c r="AR85" s="272">
        <f t="shared" si="75"/>
        <v>0</v>
      </c>
      <c r="AS85" s="272">
        <f t="shared" si="75"/>
        <v>0</v>
      </c>
      <c r="AT85" s="272">
        <f t="shared" si="75"/>
        <v>0</v>
      </c>
      <c r="AU85" s="272">
        <f t="shared" si="75"/>
        <v>0</v>
      </c>
      <c r="AV85" s="272">
        <f t="shared" si="75"/>
        <v>0</v>
      </c>
      <c r="AW85" s="272">
        <f t="shared" si="75"/>
        <v>0</v>
      </c>
      <c r="AX85" s="272">
        <f t="shared" si="75"/>
        <v>0</v>
      </c>
      <c r="AY85" s="272">
        <f t="shared" si="75"/>
        <v>0</v>
      </c>
      <c r="AZ85" s="272">
        <f t="shared" si="75"/>
        <v>0</v>
      </c>
      <c r="BA85" s="272">
        <f t="shared" si="75"/>
        <v>0</v>
      </c>
      <c r="BB85" s="272">
        <f t="shared" si="75"/>
        <v>0</v>
      </c>
      <c r="BC85" s="272">
        <f t="shared" si="75"/>
        <v>0</v>
      </c>
      <c r="BD85" s="272">
        <f t="shared" si="75"/>
        <v>0</v>
      </c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>
        <f t="shared" si="75"/>
        <v>0</v>
      </c>
    </row>
    <row r="86" spans="2:107" ht="15" hidden="1" customHeight="1" x14ac:dyDescent="0.25">
      <c r="B86" s="902">
        <v>45</v>
      </c>
      <c r="C86" s="264" t="s">
        <v>4207</v>
      </c>
      <c r="D86" s="264"/>
      <c r="E86" s="273" t="s">
        <v>4208</v>
      </c>
      <c r="F86" s="276"/>
      <c r="G86" s="274" t="str">
        <f>IF(COUNTA(H86:DC86)=0,"",IF(OR(LARGE(H86:DC86,1)&gt;24,SMALL(H86:DC86,1)&lt;0),"ERRO",""))</f>
        <v/>
      </c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</row>
    <row r="87" spans="2:107" ht="15" hidden="1" customHeight="1" x14ac:dyDescent="0.25">
      <c r="B87" s="758"/>
      <c r="C87" s="275" t="s">
        <v>4209</v>
      </c>
      <c r="D87" s="275"/>
      <c r="E87" s="552" t="s">
        <v>4210</v>
      </c>
      <c r="F87" s="276"/>
      <c r="G87" s="274" t="str">
        <f>IF(COUNTA(H87:DC87)=0,"",IF(OR(LARGE(H87:DC87,1)&gt;365,SMALL(H87:DC87,1)&lt;0),"ERRO",""))</f>
        <v/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  <c r="CR87" s="240"/>
      <c r="CS87" s="240"/>
      <c r="CT87" s="240"/>
      <c r="CU87" s="240"/>
      <c r="CV87" s="240"/>
      <c r="CW87" s="240"/>
      <c r="CX87" s="240"/>
      <c r="CY87" s="240"/>
      <c r="CZ87" s="240"/>
      <c r="DA87" s="240"/>
      <c r="DB87" s="240"/>
      <c r="DC87" s="240"/>
    </row>
    <row r="88" spans="2:107" ht="15" hidden="1" customHeight="1" x14ac:dyDescent="0.25">
      <c r="B88" s="760"/>
      <c r="C88" s="264" t="s">
        <v>4211</v>
      </c>
      <c r="D88" s="264"/>
      <c r="E88" s="265" t="s">
        <v>4212</v>
      </c>
      <c r="F88" s="276" t="s">
        <v>4234</v>
      </c>
      <c r="G88" s="274" t="str">
        <f>IF(COUNTA(H88:DC88)=0,"",IF(OR(LARGE(H88:DC88,1)&gt;8760,SMALL(H88:DC88,1)&lt;0),"ERRO",""))</f>
        <v/>
      </c>
      <c r="H88" s="272">
        <f>H86*H87</f>
        <v>0</v>
      </c>
      <c r="I88" s="272">
        <f t="shared" ref="I88:DC88" si="76">I86*I87</f>
        <v>0</v>
      </c>
      <c r="J88" s="272">
        <f t="shared" si="76"/>
        <v>0</v>
      </c>
      <c r="K88" s="272">
        <f t="shared" si="76"/>
        <v>0</v>
      </c>
      <c r="L88" s="272">
        <f t="shared" si="76"/>
        <v>0</v>
      </c>
      <c r="M88" s="272">
        <f t="shared" si="76"/>
        <v>0</v>
      </c>
      <c r="N88" s="272">
        <f t="shared" si="76"/>
        <v>0</v>
      </c>
      <c r="O88" s="272">
        <f t="shared" si="76"/>
        <v>0</v>
      </c>
      <c r="P88" s="272">
        <f t="shared" si="76"/>
        <v>0</v>
      </c>
      <c r="Q88" s="272">
        <f t="shared" si="76"/>
        <v>0</v>
      </c>
      <c r="R88" s="272">
        <f t="shared" si="76"/>
        <v>0</v>
      </c>
      <c r="S88" s="272">
        <f t="shared" si="76"/>
        <v>0</v>
      </c>
      <c r="T88" s="272">
        <f t="shared" si="76"/>
        <v>0</v>
      </c>
      <c r="U88" s="272">
        <f t="shared" si="76"/>
        <v>0</v>
      </c>
      <c r="V88" s="272">
        <f t="shared" si="76"/>
        <v>0</v>
      </c>
      <c r="W88" s="272">
        <f t="shared" si="76"/>
        <v>0</v>
      </c>
      <c r="X88" s="272">
        <f t="shared" si="76"/>
        <v>0</v>
      </c>
      <c r="Y88" s="272">
        <f t="shared" si="76"/>
        <v>0</v>
      </c>
      <c r="Z88" s="272">
        <f t="shared" si="76"/>
        <v>0</v>
      </c>
      <c r="AA88" s="272">
        <f t="shared" si="76"/>
        <v>0</v>
      </c>
      <c r="AB88" s="272">
        <f t="shared" si="76"/>
        <v>0</v>
      </c>
      <c r="AC88" s="272">
        <f t="shared" si="76"/>
        <v>0</v>
      </c>
      <c r="AD88" s="272">
        <f t="shared" si="76"/>
        <v>0</v>
      </c>
      <c r="AE88" s="272">
        <f t="shared" si="76"/>
        <v>0</v>
      </c>
      <c r="AF88" s="272">
        <f t="shared" si="76"/>
        <v>0</v>
      </c>
      <c r="AG88" s="272">
        <f t="shared" si="76"/>
        <v>0</v>
      </c>
      <c r="AH88" s="272">
        <f t="shared" si="76"/>
        <v>0</v>
      </c>
      <c r="AI88" s="272">
        <f t="shared" si="76"/>
        <v>0</v>
      </c>
      <c r="AJ88" s="272">
        <f t="shared" si="76"/>
        <v>0</v>
      </c>
      <c r="AK88" s="272">
        <f t="shared" si="76"/>
        <v>0</v>
      </c>
      <c r="AL88" s="272">
        <f t="shared" si="76"/>
        <v>0</v>
      </c>
      <c r="AM88" s="272">
        <f t="shared" si="76"/>
        <v>0</v>
      </c>
      <c r="AN88" s="272">
        <f t="shared" si="76"/>
        <v>0</v>
      </c>
      <c r="AO88" s="272">
        <f t="shared" si="76"/>
        <v>0</v>
      </c>
      <c r="AP88" s="272">
        <f t="shared" si="76"/>
        <v>0</v>
      </c>
      <c r="AQ88" s="272">
        <f t="shared" si="76"/>
        <v>0</v>
      </c>
      <c r="AR88" s="272">
        <f t="shared" si="76"/>
        <v>0</v>
      </c>
      <c r="AS88" s="272">
        <f t="shared" si="76"/>
        <v>0</v>
      </c>
      <c r="AT88" s="272">
        <f t="shared" si="76"/>
        <v>0</v>
      </c>
      <c r="AU88" s="272">
        <f t="shared" si="76"/>
        <v>0</v>
      </c>
      <c r="AV88" s="272">
        <f t="shared" si="76"/>
        <v>0</v>
      </c>
      <c r="AW88" s="272">
        <f t="shared" si="76"/>
        <v>0</v>
      </c>
      <c r="AX88" s="272">
        <f t="shared" si="76"/>
        <v>0</v>
      </c>
      <c r="AY88" s="272">
        <f t="shared" si="76"/>
        <v>0</v>
      </c>
      <c r="AZ88" s="272">
        <f t="shared" si="76"/>
        <v>0</v>
      </c>
      <c r="BA88" s="272">
        <f t="shared" si="76"/>
        <v>0</v>
      </c>
      <c r="BB88" s="272">
        <f t="shared" si="76"/>
        <v>0</v>
      </c>
      <c r="BC88" s="272">
        <f t="shared" si="76"/>
        <v>0</v>
      </c>
      <c r="BD88" s="272">
        <f t="shared" si="76"/>
        <v>0</v>
      </c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2"/>
      <c r="CD88" s="272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2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2"/>
      <c r="DB88" s="272"/>
      <c r="DC88" s="272">
        <f t="shared" si="76"/>
        <v>0</v>
      </c>
    </row>
    <row r="89" spans="2:107" ht="15" hidden="1" customHeight="1" x14ac:dyDescent="0.25">
      <c r="B89" s="902">
        <v>46</v>
      </c>
      <c r="C89" s="264" t="s">
        <v>4222</v>
      </c>
      <c r="D89" s="264"/>
      <c r="E89" s="265" t="s">
        <v>3857</v>
      </c>
      <c r="F89" s="276" t="s">
        <v>4238</v>
      </c>
      <c r="G89" s="293">
        <f>SUM(H89:DC89)</f>
        <v>0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</row>
    <row r="90" spans="2:107" ht="15" hidden="1" customHeight="1" x14ac:dyDescent="0.25">
      <c r="B90" s="760"/>
      <c r="C90" s="264" t="s">
        <v>4224</v>
      </c>
      <c r="D90" s="264"/>
      <c r="E90" s="265"/>
      <c r="F90" s="276" t="s">
        <v>4239</v>
      </c>
      <c r="G90" s="274" t="str">
        <f>IF(COUNTA(H90:DC90)=0,"",IF(OR(LARGE(H90:DC90,1)&gt;1,SMALL(H90:DC90,1)&lt;0),"ERRO",""))</f>
        <v/>
      </c>
      <c r="H90" s="272">
        <f>IF(H82=0,0,H89/H82)</f>
        <v>0</v>
      </c>
      <c r="I90" s="272">
        <f t="shared" ref="I90:DC90" si="77">IF(I82=0,0,I89/I82)</f>
        <v>0</v>
      </c>
      <c r="J90" s="272">
        <f t="shared" si="77"/>
        <v>0</v>
      </c>
      <c r="K90" s="272">
        <f t="shared" si="77"/>
        <v>0</v>
      </c>
      <c r="L90" s="272">
        <f t="shared" si="77"/>
        <v>0</v>
      </c>
      <c r="M90" s="272">
        <f t="shared" si="77"/>
        <v>0</v>
      </c>
      <c r="N90" s="272">
        <f t="shared" si="77"/>
        <v>0</v>
      </c>
      <c r="O90" s="272">
        <f t="shared" si="77"/>
        <v>0</v>
      </c>
      <c r="P90" s="272">
        <f t="shared" si="77"/>
        <v>0</v>
      </c>
      <c r="Q90" s="272">
        <f t="shared" si="77"/>
        <v>0</v>
      </c>
      <c r="R90" s="272">
        <f t="shared" si="77"/>
        <v>0</v>
      </c>
      <c r="S90" s="272">
        <f t="shared" si="77"/>
        <v>0</v>
      </c>
      <c r="T90" s="272">
        <f t="shared" si="77"/>
        <v>0</v>
      </c>
      <c r="U90" s="272">
        <f t="shared" si="77"/>
        <v>0</v>
      </c>
      <c r="V90" s="272">
        <f t="shared" si="77"/>
        <v>0</v>
      </c>
      <c r="W90" s="272">
        <f t="shared" si="77"/>
        <v>0</v>
      </c>
      <c r="X90" s="272">
        <f t="shared" si="77"/>
        <v>0</v>
      </c>
      <c r="Y90" s="272">
        <f t="shared" si="77"/>
        <v>0</v>
      </c>
      <c r="Z90" s="272">
        <f t="shared" si="77"/>
        <v>0</v>
      </c>
      <c r="AA90" s="272">
        <f t="shared" si="77"/>
        <v>0</v>
      </c>
      <c r="AB90" s="272">
        <f t="shared" si="77"/>
        <v>0</v>
      </c>
      <c r="AC90" s="272">
        <f t="shared" si="77"/>
        <v>0</v>
      </c>
      <c r="AD90" s="272">
        <f t="shared" si="77"/>
        <v>0</v>
      </c>
      <c r="AE90" s="272">
        <f t="shared" si="77"/>
        <v>0</v>
      </c>
      <c r="AF90" s="272">
        <f t="shared" si="77"/>
        <v>0</v>
      </c>
      <c r="AG90" s="272">
        <f t="shared" si="77"/>
        <v>0</v>
      </c>
      <c r="AH90" s="272">
        <f t="shared" si="77"/>
        <v>0</v>
      </c>
      <c r="AI90" s="272">
        <f t="shared" si="77"/>
        <v>0</v>
      </c>
      <c r="AJ90" s="272">
        <f t="shared" si="77"/>
        <v>0</v>
      </c>
      <c r="AK90" s="272">
        <f t="shared" si="77"/>
        <v>0</v>
      </c>
      <c r="AL90" s="272">
        <f t="shared" si="77"/>
        <v>0</v>
      </c>
      <c r="AM90" s="272">
        <f t="shared" si="77"/>
        <v>0</v>
      </c>
      <c r="AN90" s="272">
        <f t="shared" si="77"/>
        <v>0</v>
      </c>
      <c r="AO90" s="272">
        <f t="shared" si="77"/>
        <v>0</v>
      </c>
      <c r="AP90" s="272">
        <f t="shared" si="77"/>
        <v>0</v>
      </c>
      <c r="AQ90" s="272">
        <f t="shared" si="77"/>
        <v>0</v>
      </c>
      <c r="AR90" s="272">
        <f t="shared" si="77"/>
        <v>0</v>
      </c>
      <c r="AS90" s="272">
        <f t="shared" si="77"/>
        <v>0</v>
      </c>
      <c r="AT90" s="272">
        <f t="shared" si="77"/>
        <v>0</v>
      </c>
      <c r="AU90" s="272">
        <f t="shared" si="77"/>
        <v>0</v>
      </c>
      <c r="AV90" s="272">
        <f t="shared" si="77"/>
        <v>0</v>
      </c>
      <c r="AW90" s="272">
        <f t="shared" si="77"/>
        <v>0</v>
      </c>
      <c r="AX90" s="272">
        <f t="shared" si="77"/>
        <v>0</v>
      </c>
      <c r="AY90" s="272">
        <f t="shared" si="77"/>
        <v>0</v>
      </c>
      <c r="AZ90" s="272">
        <f t="shared" si="77"/>
        <v>0</v>
      </c>
      <c r="BA90" s="272">
        <f t="shared" si="77"/>
        <v>0</v>
      </c>
      <c r="BB90" s="272">
        <f t="shared" si="77"/>
        <v>0</v>
      </c>
      <c r="BC90" s="272">
        <f t="shared" si="77"/>
        <v>0</v>
      </c>
      <c r="BD90" s="272">
        <f t="shared" si="77"/>
        <v>0</v>
      </c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>
        <f t="shared" si="77"/>
        <v>0</v>
      </c>
    </row>
    <row r="91" spans="2:107" ht="15" hidden="1" customHeight="1" x14ac:dyDescent="0.25">
      <c r="B91" s="259">
        <v>47</v>
      </c>
      <c r="C91" s="264" t="s">
        <v>4226</v>
      </c>
      <c r="D91" s="264"/>
      <c r="E91" s="265" t="s">
        <v>3854</v>
      </c>
      <c r="F91" s="276" t="s">
        <v>4240</v>
      </c>
      <c r="G91" s="271">
        <f>SUM(H91:DC91)</f>
        <v>0</v>
      </c>
      <c r="H91" s="277">
        <f>(H85*H88)/1000</f>
        <v>0</v>
      </c>
      <c r="I91" s="277">
        <f t="shared" ref="I91:DC91" si="78">(I85*I88)/1000</f>
        <v>0</v>
      </c>
      <c r="J91" s="277">
        <f t="shared" si="78"/>
        <v>0</v>
      </c>
      <c r="K91" s="277">
        <f t="shared" si="78"/>
        <v>0</v>
      </c>
      <c r="L91" s="277">
        <f t="shared" si="78"/>
        <v>0</v>
      </c>
      <c r="M91" s="277">
        <f t="shared" si="78"/>
        <v>0</v>
      </c>
      <c r="N91" s="277">
        <f t="shared" si="78"/>
        <v>0</v>
      </c>
      <c r="O91" s="277">
        <f t="shared" si="78"/>
        <v>0</v>
      </c>
      <c r="P91" s="277">
        <f t="shared" si="78"/>
        <v>0</v>
      </c>
      <c r="Q91" s="277">
        <f t="shared" si="78"/>
        <v>0</v>
      </c>
      <c r="R91" s="277">
        <f t="shared" si="78"/>
        <v>0</v>
      </c>
      <c r="S91" s="277">
        <f t="shared" si="78"/>
        <v>0</v>
      </c>
      <c r="T91" s="277">
        <f t="shared" si="78"/>
        <v>0</v>
      </c>
      <c r="U91" s="277">
        <f t="shared" si="78"/>
        <v>0</v>
      </c>
      <c r="V91" s="277">
        <f t="shared" si="78"/>
        <v>0</v>
      </c>
      <c r="W91" s="277">
        <f t="shared" si="78"/>
        <v>0</v>
      </c>
      <c r="X91" s="277">
        <f t="shared" si="78"/>
        <v>0</v>
      </c>
      <c r="Y91" s="277">
        <f t="shared" si="78"/>
        <v>0</v>
      </c>
      <c r="Z91" s="277">
        <f t="shared" si="78"/>
        <v>0</v>
      </c>
      <c r="AA91" s="277">
        <f t="shared" si="78"/>
        <v>0</v>
      </c>
      <c r="AB91" s="277">
        <f t="shared" si="78"/>
        <v>0</v>
      </c>
      <c r="AC91" s="277">
        <f t="shared" si="78"/>
        <v>0</v>
      </c>
      <c r="AD91" s="277">
        <f t="shared" si="78"/>
        <v>0</v>
      </c>
      <c r="AE91" s="277">
        <f t="shared" si="78"/>
        <v>0</v>
      </c>
      <c r="AF91" s="277">
        <f t="shared" si="78"/>
        <v>0</v>
      </c>
      <c r="AG91" s="277">
        <f t="shared" si="78"/>
        <v>0</v>
      </c>
      <c r="AH91" s="277">
        <f t="shared" si="78"/>
        <v>0</v>
      </c>
      <c r="AI91" s="277">
        <f t="shared" si="78"/>
        <v>0</v>
      </c>
      <c r="AJ91" s="277">
        <f t="shared" si="78"/>
        <v>0</v>
      </c>
      <c r="AK91" s="277">
        <f t="shared" si="78"/>
        <v>0</v>
      </c>
      <c r="AL91" s="277">
        <f t="shared" si="78"/>
        <v>0</v>
      </c>
      <c r="AM91" s="277">
        <f t="shared" si="78"/>
        <v>0</v>
      </c>
      <c r="AN91" s="277">
        <f t="shared" si="78"/>
        <v>0</v>
      </c>
      <c r="AO91" s="277">
        <f t="shared" si="78"/>
        <v>0</v>
      </c>
      <c r="AP91" s="277">
        <f t="shared" si="78"/>
        <v>0</v>
      </c>
      <c r="AQ91" s="277">
        <f t="shared" si="78"/>
        <v>0</v>
      </c>
      <c r="AR91" s="277">
        <f t="shared" si="78"/>
        <v>0</v>
      </c>
      <c r="AS91" s="277">
        <f t="shared" si="78"/>
        <v>0</v>
      </c>
      <c r="AT91" s="277">
        <f t="shared" si="78"/>
        <v>0</v>
      </c>
      <c r="AU91" s="277">
        <f t="shared" si="78"/>
        <v>0</v>
      </c>
      <c r="AV91" s="277">
        <f t="shared" si="78"/>
        <v>0</v>
      </c>
      <c r="AW91" s="277">
        <f t="shared" si="78"/>
        <v>0</v>
      </c>
      <c r="AX91" s="277">
        <f t="shared" si="78"/>
        <v>0</v>
      </c>
      <c r="AY91" s="277">
        <f t="shared" si="78"/>
        <v>0</v>
      </c>
      <c r="AZ91" s="277">
        <f t="shared" si="78"/>
        <v>0</v>
      </c>
      <c r="BA91" s="277">
        <f t="shared" si="78"/>
        <v>0</v>
      </c>
      <c r="BB91" s="277">
        <f t="shared" si="78"/>
        <v>0</v>
      </c>
      <c r="BC91" s="277">
        <f t="shared" si="78"/>
        <v>0</v>
      </c>
      <c r="BD91" s="277">
        <f t="shared" si="78"/>
        <v>0</v>
      </c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7"/>
      <c r="DB91" s="277"/>
      <c r="DC91" s="277">
        <f t="shared" si="78"/>
        <v>0</v>
      </c>
    </row>
    <row r="92" spans="2:107" ht="15" hidden="1" customHeight="1" x14ac:dyDescent="0.25">
      <c r="B92" s="259">
        <v>48</v>
      </c>
      <c r="C92" s="264" t="s">
        <v>4260</v>
      </c>
      <c r="D92" s="264"/>
      <c r="E92" s="265" t="s">
        <v>3912</v>
      </c>
      <c r="F92" s="276" t="s">
        <v>4267</v>
      </c>
      <c r="G92" s="278">
        <f>IF(OR(G42=0,G91=0),0,(G91-G42)/G42)</f>
        <v>0</v>
      </c>
      <c r="H92" s="279">
        <f t="shared" ref="H92:AM92" si="79">IF(OR(H44=0,H91=0),0,(H91-H44)/H44)</f>
        <v>0</v>
      </c>
      <c r="I92" s="279">
        <f t="shared" si="79"/>
        <v>0</v>
      </c>
      <c r="J92" s="279">
        <f t="shared" si="79"/>
        <v>0</v>
      </c>
      <c r="K92" s="279">
        <f t="shared" si="79"/>
        <v>0</v>
      </c>
      <c r="L92" s="279">
        <f t="shared" si="79"/>
        <v>0</v>
      </c>
      <c r="M92" s="279">
        <f t="shared" si="79"/>
        <v>0</v>
      </c>
      <c r="N92" s="279">
        <f t="shared" si="79"/>
        <v>0</v>
      </c>
      <c r="O92" s="279">
        <f t="shared" si="79"/>
        <v>0</v>
      </c>
      <c r="P92" s="279">
        <f t="shared" si="79"/>
        <v>0</v>
      </c>
      <c r="Q92" s="279">
        <f t="shared" si="79"/>
        <v>0</v>
      </c>
      <c r="R92" s="279">
        <f t="shared" si="79"/>
        <v>0</v>
      </c>
      <c r="S92" s="279">
        <f t="shared" si="79"/>
        <v>0</v>
      </c>
      <c r="T92" s="279">
        <f t="shared" si="79"/>
        <v>0</v>
      </c>
      <c r="U92" s="279">
        <f t="shared" si="79"/>
        <v>0</v>
      </c>
      <c r="V92" s="279">
        <f t="shared" si="79"/>
        <v>0</v>
      </c>
      <c r="W92" s="279">
        <f t="shared" si="79"/>
        <v>0</v>
      </c>
      <c r="X92" s="279">
        <f t="shared" si="79"/>
        <v>0</v>
      </c>
      <c r="Y92" s="279">
        <f t="shared" si="79"/>
        <v>0</v>
      </c>
      <c r="Z92" s="279">
        <f t="shared" si="79"/>
        <v>0</v>
      </c>
      <c r="AA92" s="279">
        <f t="shared" si="79"/>
        <v>0</v>
      </c>
      <c r="AB92" s="279">
        <f t="shared" si="79"/>
        <v>0</v>
      </c>
      <c r="AC92" s="279">
        <f t="shared" si="79"/>
        <v>0</v>
      </c>
      <c r="AD92" s="279">
        <f t="shared" si="79"/>
        <v>0</v>
      </c>
      <c r="AE92" s="279">
        <f t="shared" si="79"/>
        <v>0</v>
      </c>
      <c r="AF92" s="279">
        <f t="shared" si="79"/>
        <v>0</v>
      </c>
      <c r="AG92" s="279">
        <f t="shared" si="79"/>
        <v>0</v>
      </c>
      <c r="AH92" s="279">
        <f t="shared" si="79"/>
        <v>0</v>
      </c>
      <c r="AI92" s="279">
        <f t="shared" si="79"/>
        <v>0</v>
      </c>
      <c r="AJ92" s="279">
        <f t="shared" si="79"/>
        <v>0</v>
      </c>
      <c r="AK92" s="279">
        <f t="shared" si="79"/>
        <v>0</v>
      </c>
      <c r="AL92" s="279">
        <f t="shared" si="79"/>
        <v>0</v>
      </c>
      <c r="AM92" s="279">
        <f t="shared" si="79"/>
        <v>0</v>
      </c>
      <c r="AN92" s="279">
        <f t="shared" ref="AN92:BD92" si="80">IF(OR(AN44=0,AN91=0),0,(AN91-AN44)/AN44)</f>
        <v>0</v>
      </c>
      <c r="AO92" s="279">
        <f t="shared" si="80"/>
        <v>0</v>
      </c>
      <c r="AP92" s="279">
        <f t="shared" si="80"/>
        <v>0</v>
      </c>
      <c r="AQ92" s="279">
        <f t="shared" si="80"/>
        <v>0</v>
      </c>
      <c r="AR92" s="279">
        <f t="shared" si="80"/>
        <v>0</v>
      </c>
      <c r="AS92" s="279">
        <f t="shared" si="80"/>
        <v>0</v>
      </c>
      <c r="AT92" s="279">
        <f t="shared" si="80"/>
        <v>0</v>
      </c>
      <c r="AU92" s="279">
        <f t="shared" si="80"/>
        <v>0</v>
      </c>
      <c r="AV92" s="279">
        <f t="shared" si="80"/>
        <v>0</v>
      </c>
      <c r="AW92" s="279">
        <f t="shared" si="80"/>
        <v>0</v>
      </c>
      <c r="AX92" s="279">
        <f t="shared" si="80"/>
        <v>0</v>
      </c>
      <c r="AY92" s="279">
        <f t="shared" si="80"/>
        <v>0</v>
      </c>
      <c r="AZ92" s="279">
        <f t="shared" si="80"/>
        <v>0</v>
      </c>
      <c r="BA92" s="279">
        <f t="shared" si="80"/>
        <v>0</v>
      </c>
      <c r="BB92" s="279">
        <f t="shared" si="80"/>
        <v>0</v>
      </c>
      <c r="BC92" s="279">
        <f t="shared" si="80"/>
        <v>0</v>
      </c>
      <c r="BD92" s="279">
        <f t="shared" si="80"/>
        <v>0</v>
      </c>
      <c r="BE92" s="279"/>
      <c r="BF92" s="279"/>
      <c r="BG92" s="279"/>
      <c r="BH92" s="279"/>
      <c r="BI92" s="279"/>
      <c r="BJ92" s="279"/>
      <c r="BK92" s="279"/>
      <c r="BL92" s="279"/>
      <c r="BM92" s="279"/>
      <c r="BN92" s="279"/>
      <c r="BO92" s="279"/>
      <c r="BP92" s="279"/>
      <c r="BQ92" s="279"/>
      <c r="BR92" s="279"/>
      <c r="BS92" s="279"/>
      <c r="BT92" s="279"/>
      <c r="BU92" s="279"/>
      <c r="BV92" s="279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79"/>
      <c r="CI92" s="279"/>
      <c r="CJ92" s="279"/>
      <c r="CK92" s="279"/>
      <c r="CL92" s="279"/>
      <c r="CM92" s="279"/>
      <c r="CN92" s="279"/>
      <c r="CO92" s="279"/>
      <c r="CP92" s="279"/>
      <c r="CQ92" s="279"/>
      <c r="CR92" s="279"/>
      <c r="CS92" s="279"/>
      <c r="CT92" s="279"/>
      <c r="CU92" s="279"/>
      <c r="CV92" s="279"/>
      <c r="CW92" s="279"/>
      <c r="CX92" s="279"/>
      <c r="CY92" s="279"/>
      <c r="CZ92" s="279"/>
      <c r="DA92" s="279"/>
      <c r="DB92" s="279"/>
      <c r="DC92" s="279">
        <f>IF(OR(DC44=0,DC91=0),0,(DC91-DC44)/DC44)</f>
        <v>0</v>
      </c>
    </row>
    <row r="93" spans="2:107" ht="15" hidden="1" customHeight="1" x14ac:dyDescent="0.25">
      <c r="B93" s="259">
        <v>49</v>
      </c>
      <c r="C93" s="264" t="s">
        <v>4228</v>
      </c>
      <c r="D93" s="264"/>
      <c r="E93" s="265" t="s">
        <v>3857</v>
      </c>
      <c r="F93" s="276" t="s">
        <v>4241</v>
      </c>
      <c r="G93" s="271">
        <f>SUM(H93:DC93)</f>
        <v>0</v>
      </c>
      <c r="H93" s="277">
        <f>H82*H90</f>
        <v>0</v>
      </c>
      <c r="I93" s="277">
        <f t="shared" ref="I93:DC93" si="81">I82*I90</f>
        <v>0</v>
      </c>
      <c r="J93" s="277">
        <f t="shared" si="81"/>
        <v>0</v>
      </c>
      <c r="K93" s="277">
        <f t="shared" si="81"/>
        <v>0</v>
      </c>
      <c r="L93" s="277">
        <f t="shared" si="81"/>
        <v>0</v>
      </c>
      <c r="M93" s="277">
        <f t="shared" si="81"/>
        <v>0</v>
      </c>
      <c r="N93" s="277">
        <f t="shared" si="81"/>
        <v>0</v>
      </c>
      <c r="O93" s="277">
        <f t="shared" si="81"/>
        <v>0</v>
      </c>
      <c r="P93" s="277">
        <f t="shared" si="81"/>
        <v>0</v>
      </c>
      <c r="Q93" s="277">
        <f t="shared" si="81"/>
        <v>0</v>
      </c>
      <c r="R93" s="277">
        <f t="shared" si="81"/>
        <v>0</v>
      </c>
      <c r="S93" s="277">
        <f t="shared" si="81"/>
        <v>0</v>
      </c>
      <c r="T93" s="277">
        <f t="shared" si="81"/>
        <v>0</v>
      </c>
      <c r="U93" s="277">
        <f t="shared" si="81"/>
        <v>0</v>
      </c>
      <c r="V93" s="277">
        <f t="shared" si="81"/>
        <v>0</v>
      </c>
      <c r="W93" s="277">
        <f t="shared" si="81"/>
        <v>0</v>
      </c>
      <c r="X93" s="277">
        <f t="shared" si="81"/>
        <v>0</v>
      </c>
      <c r="Y93" s="277">
        <f t="shared" si="81"/>
        <v>0</v>
      </c>
      <c r="Z93" s="277">
        <f t="shared" si="81"/>
        <v>0</v>
      </c>
      <c r="AA93" s="277">
        <f t="shared" si="81"/>
        <v>0</v>
      </c>
      <c r="AB93" s="277">
        <f t="shared" si="81"/>
        <v>0</v>
      </c>
      <c r="AC93" s="277">
        <f t="shared" si="81"/>
        <v>0</v>
      </c>
      <c r="AD93" s="277">
        <f t="shared" si="81"/>
        <v>0</v>
      </c>
      <c r="AE93" s="277">
        <f t="shared" si="81"/>
        <v>0</v>
      </c>
      <c r="AF93" s="277">
        <f t="shared" si="81"/>
        <v>0</v>
      </c>
      <c r="AG93" s="277">
        <f t="shared" si="81"/>
        <v>0</v>
      </c>
      <c r="AH93" s="277">
        <f t="shared" si="81"/>
        <v>0</v>
      </c>
      <c r="AI93" s="277">
        <f t="shared" si="81"/>
        <v>0</v>
      </c>
      <c r="AJ93" s="277">
        <f t="shared" si="81"/>
        <v>0</v>
      </c>
      <c r="AK93" s="277">
        <f t="shared" si="81"/>
        <v>0</v>
      </c>
      <c r="AL93" s="277">
        <f t="shared" si="81"/>
        <v>0</v>
      </c>
      <c r="AM93" s="277">
        <f t="shared" si="81"/>
        <v>0</v>
      </c>
      <c r="AN93" s="277">
        <f t="shared" si="81"/>
        <v>0</v>
      </c>
      <c r="AO93" s="277">
        <f t="shared" si="81"/>
        <v>0</v>
      </c>
      <c r="AP93" s="277">
        <f t="shared" si="81"/>
        <v>0</v>
      </c>
      <c r="AQ93" s="277">
        <f t="shared" si="81"/>
        <v>0</v>
      </c>
      <c r="AR93" s="277">
        <f t="shared" si="81"/>
        <v>0</v>
      </c>
      <c r="AS93" s="277">
        <f t="shared" si="81"/>
        <v>0</v>
      </c>
      <c r="AT93" s="277">
        <f t="shared" si="81"/>
        <v>0</v>
      </c>
      <c r="AU93" s="277">
        <f t="shared" si="81"/>
        <v>0</v>
      </c>
      <c r="AV93" s="277">
        <f t="shared" si="81"/>
        <v>0</v>
      </c>
      <c r="AW93" s="277">
        <f t="shared" si="81"/>
        <v>0</v>
      </c>
      <c r="AX93" s="277">
        <f t="shared" si="81"/>
        <v>0</v>
      </c>
      <c r="AY93" s="277">
        <f t="shared" si="81"/>
        <v>0</v>
      </c>
      <c r="AZ93" s="277">
        <f t="shared" si="81"/>
        <v>0</v>
      </c>
      <c r="BA93" s="277">
        <f t="shared" si="81"/>
        <v>0</v>
      </c>
      <c r="BB93" s="277">
        <f t="shared" si="81"/>
        <v>0</v>
      </c>
      <c r="BC93" s="277">
        <f t="shared" si="81"/>
        <v>0</v>
      </c>
      <c r="BD93" s="277">
        <f t="shared" si="81"/>
        <v>0</v>
      </c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7"/>
      <c r="DB93" s="277"/>
      <c r="DC93" s="277">
        <f t="shared" si="81"/>
        <v>0</v>
      </c>
    </row>
    <row r="94" spans="2:107" ht="15" hidden="1" customHeight="1" x14ac:dyDescent="0.25">
      <c r="B94" s="259">
        <v>50</v>
      </c>
      <c r="C94" s="264" t="s">
        <v>4262</v>
      </c>
      <c r="D94" s="264"/>
      <c r="E94" s="265" t="s">
        <v>3912</v>
      </c>
      <c r="F94" s="276" t="s">
        <v>4268</v>
      </c>
      <c r="G94" s="278">
        <f>IF(OR(G43=0,G93=0),0,(G93-G43)/G43)</f>
        <v>0</v>
      </c>
      <c r="H94" s="279">
        <f t="shared" ref="H94:AM94" si="82">IF(OR(H45=0,H93=0),0,(H93-H45)/H45)</f>
        <v>0</v>
      </c>
      <c r="I94" s="279">
        <f t="shared" si="82"/>
        <v>0</v>
      </c>
      <c r="J94" s="279">
        <f t="shared" si="82"/>
        <v>0</v>
      </c>
      <c r="K94" s="279">
        <f t="shared" si="82"/>
        <v>0</v>
      </c>
      <c r="L94" s="279">
        <f t="shared" si="82"/>
        <v>0</v>
      </c>
      <c r="M94" s="279">
        <f t="shared" si="82"/>
        <v>0</v>
      </c>
      <c r="N94" s="279">
        <f t="shared" si="82"/>
        <v>0</v>
      </c>
      <c r="O94" s="279">
        <f t="shared" si="82"/>
        <v>0</v>
      </c>
      <c r="P94" s="279">
        <f t="shared" si="82"/>
        <v>0</v>
      </c>
      <c r="Q94" s="279">
        <f t="shared" si="82"/>
        <v>0</v>
      </c>
      <c r="R94" s="279">
        <f t="shared" si="82"/>
        <v>0</v>
      </c>
      <c r="S94" s="279">
        <f t="shared" si="82"/>
        <v>0</v>
      </c>
      <c r="T94" s="279">
        <f t="shared" si="82"/>
        <v>0</v>
      </c>
      <c r="U94" s="279">
        <f t="shared" si="82"/>
        <v>0</v>
      </c>
      <c r="V94" s="279">
        <f t="shared" si="82"/>
        <v>0</v>
      </c>
      <c r="W94" s="279">
        <f t="shared" si="82"/>
        <v>0</v>
      </c>
      <c r="X94" s="279">
        <f t="shared" si="82"/>
        <v>0</v>
      </c>
      <c r="Y94" s="279">
        <f t="shared" si="82"/>
        <v>0</v>
      </c>
      <c r="Z94" s="279">
        <f t="shared" si="82"/>
        <v>0</v>
      </c>
      <c r="AA94" s="279">
        <f t="shared" si="82"/>
        <v>0</v>
      </c>
      <c r="AB94" s="279">
        <f t="shared" si="82"/>
        <v>0</v>
      </c>
      <c r="AC94" s="279">
        <f t="shared" si="82"/>
        <v>0</v>
      </c>
      <c r="AD94" s="279">
        <f t="shared" si="82"/>
        <v>0</v>
      </c>
      <c r="AE94" s="279">
        <f t="shared" si="82"/>
        <v>0</v>
      </c>
      <c r="AF94" s="279">
        <f t="shared" si="82"/>
        <v>0</v>
      </c>
      <c r="AG94" s="279">
        <f t="shared" si="82"/>
        <v>0</v>
      </c>
      <c r="AH94" s="279">
        <f t="shared" si="82"/>
        <v>0</v>
      </c>
      <c r="AI94" s="279">
        <f t="shared" si="82"/>
        <v>0</v>
      </c>
      <c r="AJ94" s="279">
        <f t="shared" si="82"/>
        <v>0</v>
      </c>
      <c r="AK94" s="279">
        <f t="shared" si="82"/>
        <v>0</v>
      </c>
      <c r="AL94" s="279">
        <f t="shared" si="82"/>
        <v>0</v>
      </c>
      <c r="AM94" s="279">
        <f t="shared" si="82"/>
        <v>0</v>
      </c>
      <c r="AN94" s="279">
        <f t="shared" ref="AN94:BD94" si="83">IF(OR(AN45=0,AN93=0),0,(AN93-AN45)/AN45)</f>
        <v>0</v>
      </c>
      <c r="AO94" s="279">
        <f t="shared" si="83"/>
        <v>0</v>
      </c>
      <c r="AP94" s="279">
        <f t="shared" si="83"/>
        <v>0</v>
      </c>
      <c r="AQ94" s="279">
        <f t="shared" si="83"/>
        <v>0</v>
      </c>
      <c r="AR94" s="279">
        <f t="shared" si="83"/>
        <v>0</v>
      </c>
      <c r="AS94" s="279">
        <f t="shared" si="83"/>
        <v>0</v>
      </c>
      <c r="AT94" s="279">
        <f t="shared" si="83"/>
        <v>0</v>
      </c>
      <c r="AU94" s="279">
        <f t="shared" si="83"/>
        <v>0</v>
      </c>
      <c r="AV94" s="279">
        <f t="shared" si="83"/>
        <v>0</v>
      </c>
      <c r="AW94" s="279">
        <f t="shared" si="83"/>
        <v>0</v>
      </c>
      <c r="AX94" s="279">
        <f t="shared" si="83"/>
        <v>0</v>
      </c>
      <c r="AY94" s="279">
        <f t="shared" si="83"/>
        <v>0</v>
      </c>
      <c r="AZ94" s="279">
        <f t="shared" si="83"/>
        <v>0</v>
      </c>
      <c r="BA94" s="279">
        <f t="shared" si="83"/>
        <v>0</v>
      </c>
      <c r="BB94" s="279">
        <f t="shared" si="83"/>
        <v>0</v>
      </c>
      <c r="BC94" s="279">
        <f t="shared" si="83"/>
        <v>0</v>
      </c>
      <c r="BD94" s="279">
        <f t="shared" si="83"/>
        <v>0</v>
      </c>
      <c r="BE94" s="279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79"/>
      <c r="BT94" s="279"/>
      <c r="BU94" s="279"/>
      <c r="BV94" s="279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79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79"/>
      <c r="DC94" s="279">
        <f>IF(OR(DC45=0,DC93=0),0,(DC93-DC45)/DC45)</f>
        <v>0</v>
      </c>
    </row>
    <row r="95" spans="2:107" ht="15" hidden="1" customHeight="1" x14ac:dyDescent="0.25"/>
    <row r="96" spans="2:107" ht="15" hidden="1" customHeight="1" x14ac:dyDescent="0.25">
      <c r="B96" s="858" t="s">
        <v>4487</v>
      </c>
      <c r="C96" s="859"/>
      <c r="D96" s="859"/>
      <c r="E96" s="859"/>
      <c r="F96" s="859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  <c r="CC96" s="258"/>
      <c r="CD96" s="258"/>
      <c r="CE96" s="258"/>
      <c r="CF96" s="258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58"/>
    </row>
    <row r="97" spans="2:107" s="103" customFormat="1" ht="15" hidden="1" customHeight="1" x14ac:dyDescent="0.25">
      <c r="B97" s="259"/>
      <c r="C97" s="260"/>
      <c r="D97" s="260"/>
      <c r="E97" s="260"/>
      <c r="F97" s="261"/>
      <c r="G97" s="262" t="s">
        <v>76</v>
      </c>
      <c r="H97" s="263" t="s">
        <v>4352</v>
      </c>
      <c r="I97" s="263" t="s">
        <v>4353</v>
      </c>
      <c r="J97" s="263" t="s">
        <v>4354</v>
      </c>
      <c r="K97" s="263" t="s">
        <v>4355</v>
      </c>
      <c r="L97" s="263" t="s">
        <v>4356</v>
      </c>
      <c r="M97" s="263" t="s">
        <v>4357</v>
      </c>
      <c r="N97" s="263" t="s">
        <v>4358</v>
      </c>
      <c r="O97" s="263" t="s">
        <v>4359</v>
      </c>
      <c r="P97" s="263" t="s">
        <v>4360</v>
      </c>
      <c r="Q97" s="263" t="s">
        <v>4361</v>
      </c>
      <c r="R97" s="263" t="s">
        <v>4362</v>
      </c>
      <c r="S97" s="263" t="s">
        <v>4363</v>
      </c>
      <c r="T97" s="263" t="s">
        <v>4364</v>
      </c>
      <c r="U97" s="263" t="s">
        <v>4365</v>
      </c>
      <c r="V97" s="263" t="s">
        <v>4366</v>
      </c>
      <c r="W97" s="263" t="s">
        <v>4367</v>
      </c>
      <c r="X97" s="263" t="s">
        <v>4368</v>
      </c>
      <c r="Y97" s="263" t="s">
        <v>4369</v>
      </c>
      <c r="Z97" s="263" t="s">
        <v>4370</v>
      </c>
      <c r="AA97" s="263" t="s">
        <v>4371</v>
      </c>
      <c r="AB97" s="263" t="s">
        <v>4372</v>
      </c>
      <c r="AC97" s="263" t="s">
        <v>4373</v>
      </c>
      <c r="AD97" s="263" t="s">
        <v>4374</v>
      </c>
      <c r="AE97" s="263" t="s">
        <v>4375</v>
      </c>
      <c r="AF97" s="263" t="s">
        <v>4376</v>
      </c>
      <c r="AG97" s="263" t="s">
        <v>4377</v>
      </c>
      <c r="AH97" s="263" t="s">
        <v>4378</v>
      </c>
      <c r="AI97" s="263" t="s">
        <v>4379</v>
      </c>
      <c r="AJ97" s="263" t="s">
        <v>4380</v>
      </c>
      <c r="AK97" s="263" t="s">
        <v>4381</v>
      </c>
      <c r="AL97" s="263" t="s">
        <v>4382</v>
      </c>
      <c r="AM97" s="263" t="s">
        <v>4383</v>
      </c>
      <c r="AN97" s="263" t="s">
        <v>4384</v>
      </c>
      <c r="AO97" s="263" t="s">
        <v>4385</v>
      </c>
      <c r="AP97" s="263" t="s">
        <v>4386</v>
      </c>
      <c r="AQ97" s="263" t="s">
        <v>4387</v>
      </c>
      <c r="AR97" s="263" t="s">
        <v>4388</v>
      </c>
      <c r="AS97" s="263" t="s">
        <v>4389</v>
      </c>
      <c r="AT97" s="263" t="s">
        <v>4390</v>
      </c>
      <c r="AU97" s="263" t="s">
        <v>4391</v>
      </c>
      <c r="AV97" s="263" t="s">
        <v>4392</v>
      </c>
      <c r="AW97" s="263" t="s">
        <v>4393</v>
      </c>
      <c r="AX97" s="263" t="s">
        <v>4394</v>
      </c>
      <c r="AY97" s="263" t="s">
        <v>4395</v>
      </c>
      <c r="AZ97" s="263" t="s">
        <v>4396</v>
      </c>
      <c r="BA97" s="263" t="s">
        <v>4397</v>
      </c>
      <c r="BB97" s="263" t="s">
        <v>4398</v>
      </c>
      <c r="BC97" s="263" t="s">
        <v>4399</v>
      </c>
      <c r="BD97" s="263" t="s">
        <v>4400</v>
      </c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263"/>
      <c r="BT97" s="263"/>
      <c r="BU97" s="263"/>
      <c r="BV97" s="263"/>
      <c r="BW97" s="263"/>
      <c r="BX97" s="263"/>
      <c r="BY97" s="263"/>
      <c r="BZ97" s="263"/>
      <c r="CA97" s="263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 t="s">
        <v>4401</v>
      </c>
    </row>
    <row r="98" spans="2:107" ht="15" hidden="1" customHeight="1" x14ac:dyDescent="0.25">
      <c r="B98" s="259">
        <v>51</v>
      </c>
      <c r="C98" s="280" t="s">
        <v>3901</v>
      </c>
      <c r="D98" s="280"/>
      <c r="E98" s="551" t="s">
        <v>3857</v>
      </c>
      <c r="F98" s="276" t="s">
        <v>4243</v>
      </c>
      <c r="G98" s="271">
        <f>SUM(H98:DC98)</f>
        <v>0</v>
      </c>
      <c r="H98" s="272">
        <f>H74-H93</f>
        <v>0</v>
      </c>
      <c r="I98" s="272">
        <f t="shared" ref="I98:DC98" si="84">I74-I93</f>
        <v>0</v>
      </c>
      <c r="J98" s="272">
        <f t="shared" si="84"/>
        <v>0</v>
      </c>
      <c r="K98" s="272">
        <f t="shared" si="84"/>
        <v>0</v>
      </c>
      <c r="L98" s="272">
        <f t="shared" si="84"/>
        <v>0</v>
      </c>
      <c r="M98" s="272">
        <f t="shared" si="84"/>
        <v>0</v>
      </c>
      <c r="N98" s="272">
        <f t="shared" si="84"/>
        <v>0</v>
      </c>
      <c r="O98" s="272">
        <f t="shared" si="84"/>
        <v>0</v>
      </c>
      <c r="P98" s="272">
        <f t="shared" si="84"/>
        <v>0</v>
      </c>
      <c r="Q98" s="272">
        <f t="shared" si="84"/>
        <v>0</v>
      </c>
      <c r="R98" s="272">
        <f t="shared" si="84"/>
        <v>0</v>
      </c>
      <c r="S98" s="272">
        <f t="shared" si="84"/>
        <v>0</v>
      </c>
      <c r="T98" s="272">
        <f t="shared" si="84"/>
        <v>0</v>
      </c>
      <c r="U98" s="272">
        <f t="shared" si="84"/>
        <v>0</v>
      </c>
      <c r="V98" s="272">
        <f t="shared" si="84"/>
        <v>0</v>
      </c>
      <c r="W98" s="272">
        <f t="shared" si="84"/>
        <v>0</v>
      </c>
      <c r="X98" s="272">
        <f t="shared" si="84"/>
        <v>0</v>
      </c>
      <c r="Y98" s="272">
        <f t="shared" si="84"/>
        <v>0</v>
      </c>
      <c r="Z98" s="272">
        <f t="shared" si="84"/>
        <v>0</v>
      </c>
      <c r="AA98" s="272">
        <f t="shared" si="84"/>
        <v>0</v>
      </c>
      <c r="AB98" s="272">
        <f t="shared" si="84"/>
        <v>0</v>
      </c>
      <c r="AC98" s="272">
        <f t="shared" si="84"/>
        <v>0</v>
      </c>
      <c r="AD98" s="272">
        <f t="shared" si="84"/>
        <v>0</v>
      </c>
      <c r="AE98" s="272">
        <f t="shared" si="84"/>
        <v>0</v>
      </c>
      <c r="AF98" s="272">
        <f t="shared" si="84"/>
        <v>0</v>
      </c>
      <c r="AG98" s="272">
        <f t="shared" si="84"/>
        <v>0</v>
      </c>
      <c r="AH98" s="272">
        <f t="shared" si="84"/>
        <v>0</v>
      </c>
      <c r="AI98" s="272">
        <f t="shared" si="84"/>
        <v>0</v>
      </c>
      <c r="AJ98" s="272">
        <f t="shared" si="84"/>
        <v>0</v>
      </c>
      <c r="AK98" s="272">
        <f t="shared" si="84"/>
        <v>0</v>
      </c>
      <c r="AL98" s="272">
        <f t="shared" si="84"/>
        <v>0</v>
      </c>
      <c r="AM98" s="272">
        <f t="shared" si="84"/>
        <v>0</v>
      </c>
      <c r="AN98" s="272">
        <f t="shared" si="84"/>
        <v>0</v>
      </c>
      <c r="AO98" s="272">
        <f t="shared" si="84"/>
        <v>0</v>
      </c>
      <c r="AP98" s="272">
        <f t="shared" si="84"/>
        <v>0</v>
      </c>
      <c r="AQ98" s="272">
        <f t="shared" si="84"/>
        <v>0</v>
      </c>
      <c r="AR98" s="272">
        <f t="shared" si="84"/>
        <v>0</v>
      </c>
      <c r="AS98" s="272">
        <f t="shared" si="84"/>
        <v>0</v>
      </c>
      <c r="AT98" s="272">
        <f t="shared" si="84"/>
        <v>0</v>
      </c>
      <c r="AU98" s="272">
        <f t="shared" si="84"/>
        <v>0</v>
      </c>
      <c r="AV98" s="272">
        <f t="shared" si="84"/>
        <v>0</v>
      </c>
      <c r="AW98" s="272">
        <f t="shared" si="84"/>
        <v>0</v>
      </c>
      <c r="AX98" s="272">
        <f t="shared" si="84"/>
        <v>0</v>
      </c>
      <c r="AY98" s="272">
        <f t="shared" si="84"/>
        <v>0</v>
      </c>
      <c r="AZ98" s="272">
        <f t="shared" si="84"/>
        <v>0</v>
      </c>
      <c r="BA98" s="272">
        <f t="shared" si="84"/>
        <v>0</v>
      </c>
      <c r="BB98" s="272">
        <f t="shared" si="84"/>
        <v>0</v>
      </c>
      <c r="BC98" s="272">
        <f t="shared" si="84"/>
        <v>0</v>
      </c>
      <c r="BD98" s="272">
        <f t="shared" si="84"/>
        <v>0</v>
      </c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72"/>
      <c r="DB98" s="272"/>
      <c r="DC98" s="272">
        <f t="shared" si="84"/>
        <v>0</v>
      </c>
    </row>
    <row r="99" spans="2:107" ht="15" hidden="1" customHeight="1" x14ac:dyDescent="0.25">
      <c r="B99" s="259">
        <v>52</v>
      </c>
      <c r="C99" s="281" t="s">
        <v>4244</v>
      </c>
      <c r="D99" s="282">
        <f>D48</f>
        <v>0</v>
      </c>
      <c r="E99" s="552" t="s">
        <v>3912</v>
      </c>
      <c r="F99" s="276" t="s">
        <v>4245</v>
      </c>
      <c r="G99" s="278">
        <f t="shared" ref="G99:AL99" si="85">IF(G74=0,0,G98/G74)</f>
        <v>0</v>
      </c>
      <c r="H99" s="279">
        <f t="shared" si="85"/>
        <v>0</v>
      </c>
      <c r="I99" s="279">
        <f t="shared" si="85"/>
        <v>0</v>
      </c>
      <c r="J99" s="279">
        <f t="shared" si="85"/>
        <v>0</v>
      </c>
      <c r="K99" s="279">
        <f t="shared" si="85"/>
        <v>0</v>
      </c>
      <c r="L99" s="279">
        <f t="shared" si="85"/>
        <v>0</v>
      </c>
      <c r="M99" s="279">
        <f t="shared" si="85"/>
        <v>0</v>
      </c>
      <c r="N99" s="279">
        <f t="shared" si="85"/>
        <v>0</v>
      </c>
      <c r="O99" s="279">
        <f t="shared" si="85"/>
        <v>0</v>
      </c>
      <c r="P99" s="279">
        <f t="shared" si="85"/>
        <v>0</v>
      </c>
      <c r="Q99" s="279">
        <f t="shared" si="85"/>
        <v>0</v>
      </c>
      <c r="R99" s="279">
        <f t="shared" si="85"/>
        <v>0</v>
      </c>
      <c r="S99" s="279">
        <f t="shared" si="85"/>
        <v>0</v>
      </c>
      <c r="T99" s="279">
        <f t="shared" si="85"/>
        <v>0</v>
      </c>
      <c r="U99" s="279">
        <f t="shared" si="85"/>
        <v>0</v>
      </c>
      <c r="V99" s="279">
        <f t="shared" si="85"/>
        <v>0</v>
      </c>
      <c r="W99" s="279">
        <f t="shared" si="85"/>
        <v>0</v>
      </c>
      <c r="X99" s="279">
        <f t="shared" si="85"/>
        <v>0</v>
      </c>
      <c r="Y99" s="279">
        <f t="shared" si="85"/>
        <v>0</v>
      </c>
      <c r="Z99" s="279">
        <f t="shared" si="85"/>
        <v>0</v>
      </c>
      <c r="AA99" s="279">
        <f t="shared" si="85"/>
        <v>0</v>
      </c>
      <c r="AB99" s="279">
        <f t="shared" si="85"/>
        <v>0</v>
      </c>
      <c r="AC99" s="279">
        <f t="shared" si="85"/>
        <v>0</v>
      </c>
      <c r="AD99" s="279">
        <f t="shared" si="85"/>
        <v>0</v>
      </c>
      <c r="AE99" s="279">
        <f t="shared" si="85"/>
        <v>0</v>
      </c>
      <c r="AF99" s="279">
        <f t="shared" si="85"/>
        <v>0</v>
      </c>
      <c r="AG99" s="279">
        <f t="shared" si="85"/>
        <v>0</v>
      </c>
      <c r="AH99" s="279">
        <f t="shared" si="85"/>
        <v>0</v>
      </c>
      <c r="AI99" s="279">
        <f t="shared" si="85"/>
        <v>0</v>
      </c>
      <c r="AJ99" s="279">
        <f t="shared" si="85"/>
        <v>0</v>
      </c>
      <c r="AK99" s="279">
        <f t="shared" si="85"/>
        <v>0</v>
      </c>
      <c r="AL99" s="279">
        <f t="shared" si="85"/>
        <v>0</v>
      </c>
      <c r="AM99" s="279">
        <f t="shared" ref="AM99:BD99" si="86">IF(AM74=0,0,AM98/AM74)</f>
        <v>0</v>
      </c>
      <c r="AN99" s="279">
        <f t="shared" si="86"/>
        <v>0</v>
      </c>
      <c r="AO99" s="279">
        <f t="shared" si="86"/>
        <v>0</v>
      </c>
      <c r="AP99" s="279">
        <f t="shared" si="86"/>
        <v>0</v>
      </c>
      <c r="AQ99" s="279">
        <f t="shared" si="86"/>
        <v>0</v>
      </c>
      <c r="AR99" s="279">
        <f t="shared" si="86"/>
        <v>0</v>
      </c>
      <c r="AS99" s="279">
        <f t="shared" si="86"/>
        <v>0</v>
      </c>
      <c r="AT99" s="279">
        <f t="shared" si="86"/>
        <v>0</v>
      </c>
      <c r="AU99" s="279">
        <f t="shared" si="86"/>
        <v>0</v>
      </c>
      <c r="AV99" s="279">
        <f t="shared" si="86"/>
        <v>0</v>
      </c>
      <c r="AW99" s="279">
        <f t="shared" si="86"/>
        <v>0</v>
      </c>
      <c r="AX99" s="279">
        <f t="shared" si="86"/>
        <v>0</v>
      </c>
      <c r="AY99" s="279">
        <f t="shared" si="86"/>
        <v>0</v>
      </c>
      <c r="AZ99" s="279">
        <f t="shared" si="86"/>
        <v>0</v>
      </c>
      <c r="BA99" s="279">
        <f t="shared" si="86"/>
        <v>0</v>
      </c>
      <c r="BB99" s="279">
        <f t="shared" si="86"/>
        <v>0</v>
      </c>
      <c r="BC99" s="279">
        <f t="shared" si="86"/>
        <v>0</v>
      </c>
      <c r="BD99" s="279">
        <f t="shared" si="86"/>
        <v>0</v>
      </c>
      <c r="BE99" s="279"/>
      <c r="BF99" s="279"/>
      <c r="BG99" s="279"/>
      <c r="BH99" s="279"/>
      <c r="BI99" s="279"/>
      <c r="BJ99" s="279"/>
      <c r="BK99" s="279"/>
      <c r="BL99" s="279"/>
      <c r="BM99" s="279"/>
      <c r="BN99" s="279"/>
      <c r="BO99" s="279"/>
      <c r="BP99" s="279"/>
      <c r="BQ99" s="279"/>
      <c r="BR99" s="279"/>
      <c r="BS99" s="279"/>
      <c r="BT99" s="279"/>
      <c r="BU99" s="279"/>
      <c r="BV99" s="279"/>
      <c r="BW99" s="279"/>
      <c r="BX99" s="279"/>
      <c r="BY99" s="279"/>
      <c r="BZ99" s="279"/>
      <c r="CA99" s="279"/>
      <c r="CB99" s="279"/>
      <c r="CC99" s="279"/>
      <c r="CD99" s="279"/>
      <c r="CE99" s="279"/>
      <c r="CF99" s="279"/>
      <c r="CG99" s="279"/>
      <c r="CH99" s="279"/>
      <c r="CI99" s="279"/>
      <c r="CJ99" s="279"/>
      <c r="CK99" s="279"/>
      <c r="CL99" s="279"/>
      <c r="CM99" s="279"/>
      <c r="CN99" s="279"/>
      <c r="CO99" s="279"/>
      <c r="CP99" s="279"/>
      <c r="CQ99" s="279"/>
      <c r="CR99" s="279"/>
      <c r="CS99" s="279"/>
      <c r="CT99" s="279"/>
      <c r="CU99" s="279"/>
      <c r="CV99" s="279"/>
      <c r="CW99" s="279"/>
      <c r="CX99" s="279"/>
      <c r="CY99" s="279"/>
      <c r="CZ99" s="279"/>
      <c r="DA99" s="279"/>
      <c r="DB99" s="279"/>
      <c r="DC99" s="279">
        <f>IF(DC74=0,0,DC98/DC74)</f>
        <v>0</v>
      </c>
    </row>
    <row r="100" spans="2:107" ht="15" hidden="1" customHeight="1" x14ac:dyDescent="0.25">
      <c r="B100" s="259">
        <v>53</v>
      </c>
      <c r="C100" s="280" t="s">
        <v>3900</v>
      </c>
      <c r="D100" s="280"/>
      <c r="E100" s="551" t="s">
        <v>3854</v>
      </c>
      <c r="F100" s="276" t="s">
        <v>4246</v>
      </c>
      <c r="G100" s="271">
        <f>SUM(H100:DC100)</f>
        <v>0</v>
      </c>
      <c r="H100" s="272">
        <f>H72-H91</f>
        <v>0</v>
      </c>
      <c r="I100" s="272">
        <f t="shared" ref="I100:DC100" si="87">I72-I91</f>
        <v>0</v>
      </c>
      <c r="J100" s="272">
        <f t="shared" si="87"/>
        <v>0</v>
      </c>
      <c r="K100" s="272">
        <f t="shared" si="87"/>
        <v>0</v>
      </c>
      <c r="L100" s="272">
        <f t="shared" si="87"/>
        <v>0</v>
      </c>
      <c r="M100" s="272">
        <f t="shared" si="87"/>
        <v>0</v>
      </c>
      <c r="N100" s="272">
        <f t="shared" si="87"/>
        <v>0</v>
      </c>
      <c r="O100" s="272">
        <f t="shared" si="87"/>
        <v>0</v>
      </c>
      <c r="P100" s="272">
        <f t="shared" si="87"/>
        <v>0</v>
      </c>
      <c r="Q100" s="272">
        <f t="shared" si="87"/>
        <v>0</v>
      </c>
      <c r="R100" s="272">
        <f t="shared" si="87"/>
        <v>0</v>
      </c>
      <c r="S100" s="272">
        <f t="shared" si="87"/>
        <v>0</v>
      </c>
      <c r="T100" s="272">
        <f t="shared" si="87"/>
        <v>0</v>
      </c>
      <c r="U100" s="272">
        <f t="shared" si="87"/>
        <v>0</v>
      </c>
      <c r="V100" s="272">
        <f t="shared" si="87"/>
        <v>0</v>
      </c>
      <c r="W100" s="272">
        <f t="shared" si="87"/>
        <v>0</v>
      </c>
      <c r="X100" s="272">
        <f t="shared" si="87"/>
        <v>0</v>
      </c>
      <c r="Y100" s="272">
        <f t="shared" si="87"/>
        <v>0</v>
      </c>
      <c r="Z100" s="272">
        <f t="shared" si="87"/>
        <v>0</v>
      </c>
      <c r="AA100" s="272">
        <f t="shared" si="87"/>
        <v>0</v>
      </c>
      <c r="AB100" s="272">
        <f t="shared" si="87"/>
        <v>0</v>
      </c>
      <c r="AC100" s="272">
        <f t="shared" si="87"/>
        <v>0</v>
      </c>
      <c r="AD100" s="272">
        <f t="shared" si="87"/>
        <v>0</v>
      </c>
      <c r="AE100" s="272">
        <f t="shared" si="87"/>
        <v>0</v>
      </c>
      <c r="AF100" s="272">
        <f t="shared" si="87"/>
        <v>0</v>
      </c>
      <c r="AG100" s="272">
        <f t="shared" si="87"/>
        <v>0</v>
      </c>
      <c r="AH100" s="272">
        <f t="shared" si="87"/>
        <v>0</v>
      </c>
      <c r="AI100" s="272">
        <f t="shared" si="87"/>
        <v>0</v>
      </c>
      <c r="AJ100" s="272">
        <f t="shared" si="87"/>
        <v>0</v>
      </c>
      <c r="AK100" s="272">
        <f t="shared" si="87"/>
        <v>0</v>
      </c>
      <c r="AL100" s="272">
        <f t="shared" si="87"/>
        <v>0</v>
      </c>
      <c r="AM100" s="272">
        <f t="shared" si="87"/>
        <v>0</v>
      </c>
      <c r="AN100" s="272">
        <f t="shared" si="87"/>
        <v>0</v>
      </c>
      <c r="AO100" s="272">
        <f t="shared" si="87"/>
        <v>0</v>
      </c>
      <c r="AP100" s="272">
        <f t="shared" si="87"/>
        <v>0</v>
      </c>
      <c r="AQ100" s="272">
        <f t="shared" si="87"/>
        <v>0</v>
      </c>
      <c r="AR100" s="272">
        <f t="shared" si="87"/>
        <v>0</v>
      </c>
      <c r="AS100" s="272">
        <f t="shared" si="87"/>
        <v>0</v>
      </c>
      <c r="AT100" s="272">
        <f t="shared" si="87"/>
        <v>0</v>
      </c>
      <c r="AU100" s="272">
        <f t="shared" si="87"/>
        <v>0</v>
      </c>
      <c r="AV100" s="272">
        <f t="shared" si="87"/>
        <v>0</v>
      </c>
      <c r="AW100" s="272">
        <f t="shared" si="87"/>
        <v>0</v>
      </c>
      <c r="AX100" s="272">
        <f t="shared" si="87"/>
        <v>0</v>
      </c>
      <c r="AY100" s="272">
        <f t="shared" si="87"/>
        <v>0</v>
      </c>
      <c r="AZ100" s="272">
        <f t="shared" si="87"/>
        <v>0</v>
      </c>
      <c r="BA100" s="272">
        <f t="shared" si="87"/>
        <v>0</v>
      </c>
      <c r="BB100" s="272">
        <f t="shared" si="87"/>
        <v>0</v>
      </c>
      <c r="BC100" s="272">
        <f t="shared" si="87"/>
        <v>0</v>
      </c>
      <c r="BD100" s="272">
        <f t="shared" si="87"/>
        <v>0</v>
      </c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  <c r="CG100" s="272"/>
      <c r="CH100" s="272"/>
      <c r="CI100" s="272"/>
      <c r="CJ100" s="272"/>
      <c r="CK100" s="272"/>
      <c r="CL100" s="272"/>
      <c r="CM100" s="272"/>
      <c r="CN100" s="272"/>
      <c r="CO100" s="272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272"/>
      <c r="DB100" s="272"/>
      <c r="DC100" s="272">
        <f t="shared" si="87"/>
        <v>0</v>
      </c>
    </row>
    <row r="101" spans="2:107" ht="15" hidden="1" customHeight="1" x14ac:dyDescent="0.25">
      <c r="B101" s="259">
        <v>54</v>
      </c>
      <c r="C101" s="281" t="s">
        <v>4247</v>
      </c>
      <c r="D101" s="282">
        <f>D50</f>
        <v>0</v>
      </c>
      <c r="E101" s="552" t="s">
        <v>3912</v>
      </c>
      <c r="F101" s="276" t="s">
        <v>4248</v>
      </c>
      <c r="G101" s="283">
        <f t="shared" ref="G101:AL101" si="88">IF(G72=0,0,G100/G72)</f>
        <v>0</v>
      </c>
      <c r="H101" s="279">
        <f t="shared" si="88"/>
        <v>0</v>
      </c>
      <c r="I101" s="279">
        <f t="shared" si="88"/>
        <v>0</v>
      </c>
      <c r="J101" s="279">
        <f t="shared" si="88"/>
        <v>0</v>
      </c>
      <c r="K101" s="279">
        <f t="shared" si="88"/>
        <v>0</v>
      </c>
      <c r="L101" s="279">
        <f t="shared" si="88"/>
        <v>0</v>
      </c>
      <c r="M101" s="279">
        <f t="shared" si="88"/>
        <v>0</v>
      </c>
      <c r="N101" s="279">
        <f t="shared" si="88"/>
        <v>0</v>
      </c>
      <c r="O101" s="279">
        <f t="shared" si="88"/>
        <v>0</v>
      </c>
      <c r="P101" s="279">
        <f t="shared" si="88"/>
        <v>0</v>
      </c>
      <c r="Q101" s="279">
        <f t="shared" si="88"/>
        <v>0</v>
      </c>
      <c r="R101" s="279">
        <f t="shared" si="88"/>
        <v>0</v>
      </c>
      <c r="S101" s="279">
        <f t="shared" si="88"/>
        <v>0</v>
      </c>
      <c r="T101" s="279">
        <f t="shared" si="88"/>
        <v>0</v>
      </c>
      <c r="U101" s="279">
        <f t="shared" si="88"/>
        <v>0</v>
      </c>
      <c r="V101" s="279">
        <f t="shared" si="88"/>
        <v>0</v>
      </c>
      <c r="W101" s="279">
        <f t="shared" si="88"/>
        <v>0</v>
      </c>
      <c r="X101" s="279">
        <f t="shared" si="88"/>
        <v>0</v>
      </c>
      <c r="Y101" s="279">
        <f t="shared" si="88"/>
        <v>0</v>
      </c>
      <c r="Z101" s="279">
        <f t="shared" si="88"/>
        <v>0</v>
      </c>
      <c r="AA101" s="279">
        <f t="shared" si="88"/>
        <v>0</v>
      </c>
      <c r="AB101" s="279">
        <f t="shared" si="88"/>
        <v>0</v>
      </c>
      <c r="AC101" s="279">
        <f t="shared" si="88"/>
        <v>0</v>
      </c>
      <c r="AD101" s="279">
        <f t="shared" si="88"/>
        <v>0</v>
      </c>
      <c r="AE101" s="279">
        <f t="shared" si="88"/>
        <v>0</v>
      </c>
      <c r="AF101" s="279">
        <f t="shared" si="88"/>
        <v>0</v>
      </c>
      <c r="AG101" s="279">
        <f t="shared" si="88"/>
        <v>0</v>
      </c>
      <c r="AH101" s="279">
        <f t="shared" si="88"/>
        <v>0</v>
      </c>
      <c r="AI101" s="279">
        <f t="shared" si="88"/>
        <v>0</v>
      </c>
      <c r="AJ101" s="279">
        <f t="shared" si="88"/>
        <v>0</v>
      </c>
      <c r="AK101" s="279">
        <f t="shared" si="88"/>
        <v>0</v>
      </c>
      <c r="AL101" s="279">
        <f t="shared" si="88"/>
        <v>0</v>
      </c>
      <c r="AM101" s="279">
        <f t="shared" ref="AM101:BD101" si="89">IF(AM72=0,0,AM100/AM72)</f>
        <v>0</v>
      </c>
      <c r="AN101" s="279">
        <f t="shared" si="89"/>
        <v>0</v>
      </c>
      <c r="AO101" s="279">
        <f t="shared" si="89"/>
        <v>0</v>
      </c>
      <c r="AP101" s="279">
        <f t="shared" si="89"/>
        <v>0</v>
      </c>
      <c r="AQ101" s="279">
        <f t="shared" si="89"/>
        <v>0</v>
      </c>
      <c r="AR101" s="279">
        <f t="shared" si="89"/>
        <v>0</v>
      </c>
      <c r="AS101" s="279">
        <f t="shared" si="89"/>
        <v>0</v>
      </c>
      <c r="AT101" s="279">
        <f t="shared" si="89"/>
        <v>0</v>
      </c>
      <c r="AU101" s="279">
        <f t="shared" si="89"/>
        <v>0</v>
      </c>
      <c r="AV101" s="279">
        <f t="shared" si="89"/>
        <v>0</v>
      </c>
      <c r="AW101" s="279">
        <f t="shared" si="89"/>
        <v>0</v>
      </c>
      <c r="AX101" s="279">
        <f t="shared" si="89"/>
        <v>0</v>
      </c>
      <c r="AY101" s="279">
        <f t="shared" si="89"/>
        <v>0</v>
      </c>
      <c r="AZ101" s="279">
        <f t="shared" si="89"/>
        <v>0</v>
      </c>
      <c r="BA101" s="279">
        <f t="shared" si="89"/>
        <v>0</v>
      </c>
      <c r="BB101" s="279">
        <f t="shared" si="89"/>
        <v>0</v>
      </c>
      <c r="BC101" s="279">
        <f t="shared" si="89"/>
        <v>0</v>
      </c>
      <c r="BD101" s="279">
        <f t="shared" si="89"/>
        <v>0</v>
      </c>
      <c r="BE101" s="279"/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279"/>
      <c r="BP101" s="279"/>
      <c r="BQ101" s="279"/>
      <c r="BR101" s="279"/>
      <c r="BS101" s="279"/>
      <c r="BT101" s="279"/>
      <c r="BU101" s="279"/>
      <c r="BV101" s="279"/>
      <c r="BW101" s="279"/>
      <c r="BX101" s="279"/>
      <c r="BY101" s="279"/>
      <c r="BZ101" s="279"/>
      <c r="CA101" s="279"/>
      <c r="CB101" s="279"/>
      <c r="CC101" s="279"/>
      <c r="CD101" s="279"/>
      <c r="CE101" s="279"/>
      <c r="CF101" s="279"/>
      <c r="CG101" s="279"/>
      <c r="CH101" s="279"/>
      <c r="CI101" s="279"/>
      <c r="CJ101" s="279"/>
      <c r="CK101" s="279"/>
      <c r="CL101" s="279"/>
      <c r="CM101" s="279"/>
      <c r="CN101" s="279"/>
      <c r="CO101" s="279"/>
      <c r="CP101" s="279"/>
      <c r="CQ101" s="279"/>
      <c r="CR101" s="279"/>
      <c r="CS101" s="279"/>
      <c r="CT101" s="279"/>
      <c r="CU101" s="279"/>
      <c r="CV101" s="279"/>
      <c r="CW101" s="279"/>
      <c r="CX101" s="279"/>
      <c r="CY101" s="279"/>
      <c r="CZ101" s="279"/>
      <c r="DA101" s="279"/>
      <c r="DB101" s="279"/>
      <c r="DC101" s="279">
        <f>IF(DC72=0,0,DC100/DC72)</f>
        <v>0</v>
      </c>
    </row>
    <row r="102" spans="2:107" ht="15" hidden="1" customHeight="1" x14ac:dyDescent="0.25">
      <c r="B102" s="294"/>
      <c r="C102" s="285" t="s">
        <v>4488</v>
      </c>
      <c r="D102" s="285"/>
      <c r="E102" s="537" t="s">
        <v>3911</v>
      </c>
      <c r="F102" s="286" t="s">
        <v>4467</v>
      </c>
      <c r="G102" s="287">
        <f>SUM(H102:DC102)</f>
        <v>0</v>
      </c>
      <c r="H102" s="288">
        <f>H98*$D$99+H100*$D$101</f>
        <v>0</v>
      </c>
      <c r="I102" s="288">
        <f t="shared" ref="I102:DC102" si="90">I98*$D$99+I100*$D$101</f>
        <v>0</v>
      </c>
      <c r="J102" s="288">
        <f t="shared" si="90"/>
        <v>0</v>
      </c>
      <c r="K102" s="288">
        <f t="shared" si="90"/>
        <v>0</v>
      </c>
      <c r="L102" s="288">
        <f t="shared" si="90"/>
        <v>0</v>
      </c>
      <c r="M102" s="288">
        <f t="shared" si="90"/>
        <v>0</v>
      </c>
      <c r="N102" s="288">
        <f t="shared" si="90"/>
        <v>0</v>
      </c>
      <c r="O102" s="288">
        <f t="shared" si="90"/>
        <v>0</v>
      </c>
      <c r="P102" s="288">
        <f t="shared" si="90"/>
        <v>0</v>
      </c>
      <c r="Q102" s="288">
        <f t="shared" si="90"/>
        <v>0</v>
      </c>
      <c r="R102" s="288">
        <f t="shared" si="90"/>
        <v>0</v>
      </c>
      <c r="S102" s="288">
        <f t="shared" si="90"/>
        <v>0</v>
      </c>
      <c r="T102" s="288">
        <f t="shared" si="90"/>
        <v>0</v>
      </c>
      <c r="U102" s="288">
        <f t="shared" si="90"/>
        <v>0</v>
      </c>
      <c r="V102" s="288">
        <f t="shared" si="90"/>
        <v>0</v>
      </c>
      <c r="W102" s="288">
        <f t="shared" si="90"/>
        <v>0</v>
      </c>
      <c r="X102" s="288">
        <f t="shared" si="90"/>
        <v>0</v>
      </c>
      <c r="Y102" s="288">
        <f t="shared" si="90"/>
        <v>0</v>
      </c>
      <c r="Z102" s="288">
        <f t="shared" si="90"/>
        <v>0</v>
      </c>
      <c r="AA102" s="288">
        <f t="shared" si="90"/>
        <v>0</v>
      </c>
      <c r="AB102" s="288">
        <f t="shared" si="90"/>
        <v>0</v>
      </c>
      <c r="AC102" s="288">
        <f t="shared" si="90"/>
        <v>0</v>
      </c>
      <c r="AD102" s="288">
        <f t="shared" si="90"/>
        <v>0</v>
      </c>
      <c r="AE102" s="288">
        <f t="shared" si="90"/>
        <v>0</v>
      </c>
      <c r="AF102" s="288">
        <f t="shared" si="90"/>
        <v>0</v>
      </c>
      <c r="AG102" s="288">
        <f t="shared" si="90"/>
        <v>0</v>
      </c>
      <c r="AH102" s="288">
        <f t="shared" si="90"/>
        <v>0</v>
      </c>
      <c r="AI102" s="288">
        <f t="shared" si="90"/>
        <v>0</v>
      </c>
      <c r="AJ102" s="288">
        <f t="shared" si="90"/>
        <v>0</v>
      </c>
      <c r="AK102" s="288">
        <f t="shared" si="90"/>
        <v>0</v>
      </c>
      <c r="AL102" s="288">
        <f t="shared" si="90"/>
        <v>0</v>
      </c>
      <c r="AM102" s="288">
        <f t="shared" si="90"/>
        <v>0</v>
      </c>
      <c r="AN102" s="288">
        <f t="shared" si="90"/>
        <v>0</v>
      </c>
      <c r="AO102" s="288">
        <f t="shared" si="90"/>
        <v>0</v>
      </c>
      <c r="AP102" s="288">
        <f t="shared" si="90"/>
        <v>0</v>
      </c>
      <c r="AQ102" s="288">
        <f t="shared" si="90"/>
        <v>0</v>
      </c>
      <c r="AR102" s="288">
        <f t="shared" si="90"/>
        <v>0</v>
      </c>
      <c r="AS102" s="288">
        <f t="shared" si="90"/>
        <v>0</v>
      </c>
      <c r="AT102" s="288">
        <f t="shared" si="90"/>
        <v>0</v>
      </c>
      <c r="AU102" s="288">
        <f t="shared" si="90"/>
        <v>0</v>
      </c>
      <c r="AV102" s="288">
        <f t="shared" si="90"/>
        <v>0</v>
      </c>
      <c r="AW102" s="288">
        <f t="shared" si="90"/>
        <v>0</v>
      </c>
      <c r="AX102" s="288">
        <f t="shared" si="90"/>
        <v>0</v>
      </c>
      <c r="AY102" s="288">
        <f t="shared" si="90"/>
        <v>0</v>
      </c>
      <c r="AZ102" s="288">
        <f t="shared" si="90"/>
        <v>0</v>
      </c>
      <c r="BA102" s="288">
        <f t="shared" si="90"/>
        <v>0</v>
      </c>
      <c r="BB102" s="288">
        <f t="shared" si="90"/>
        <v>0</v>
      </c>
      <c r="BC102" s="288">
        <f t="shared" si="90"/>
        <v>0</v>
      </c>
      <c r="BD102" s="288">
        <f t="shared" si="90"/>
        <v>0</v>
      </c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  <c r="CH102" s="288"/>
      <c r="CI102" s="288"/>
      <c r="CJ102" s="288"/>
      <c r="CK102" s="288"/>
      <c r="CL102" s="288"/>
      <c r="CM102" s="288"/>
      <c r="CN102" s="288"/>
      <c r="CO102" s="288"/>
      <c r="CP102" s="288"/>
      <c r="CQ102" s="288"/>
      <c r="CR102" s="288"/>
      <c r="CS102" s="288"/>
      <c r="CT102" s="288"/>
      <c r="CU102" s="288"/>
      <c r="CV102" s="288"/>
      <c r="CW102" s="288"/>
      <c r="CX102" s="288"/>
      <c r="CY102" s="288"/>
      <c r="CZ102" s="288"/>
      <c r="DA102" s="288"/>
      <c r="DB102" s="288"/>
      <c r="DC102" s="288">
        <f t="shared" si="90"/>
        <v>0</v>
      </c>
    </row>
    <row r="103" spans="2:107" ht="15" hidden="1" customHeight="1" x14ac:dyDescent="0.25">
      <c r="H103" s="289"/>
      <c r="I103" s="289"/>
    </row>
    <row r="104" spans="2:107" ht="15" hidden="1" customHeight="1" x14ac:dyDescent="0.35">
      <c r="E104" s="213" t="s">
        <v>4341</v>
      </c>
      <c r="F104" s="214"/>
      <c r="G104" s="215">
        <f>RCB!$G$32</f>
        <v>0</v>
      </c>
      <c r="H104" s="289"/>
      <c r="I104" s="213" t="s">
        <v>4342</v>
      </c>
      <c r="J104" s="214"/>
      <c r="K104" s="215">
        <f>RCB!$J$32</f>
        <v>0</v>
      </c>
    </row>
    <row r="105" spans="2:107" ht="15" hidden="1" customHeight="1" x14ac:dyDescent="0.35">
      <c r="E105" s="213" t="s">
        <v>4074</v>
      </c>
      <c r="F105" s="214"/>
      <c r="G105" s="215">
        <f>RCB!$H$30</f>
        <v>0</v>
      </c>
      <c r="H105" s="289"/>
      <c r="I105" s="213" t="s">
        <v>4075</v>
      </c>
      <c r="J105" s="214"/>
      <c r="K105" s="215">
        <f>RCB!$K$30</f>
        <v>0</v>
      </c>
    </row>
    <row r="106" spans="2:107" ht="15" hidden="1" customHeight="1" x14ac:dyDescent="0.25">
      <c r="H106" s="289"/>
      <c r="I106" s="289"/>
    </row>
  </sheetData>
  <sheetProtection algorithmName="SHA-512" hashValue="O0796tuzCZiequt533OC9KNTX3BkZOQj7CXGptg9bjN/TqfXHqHzcsvEoKz1hKYcq95byBrnmjwYRqR4oEpjTg==" saltValue="X6x60vT4HUd5PEWRpnhOjw==" spinCount="100000" sheet="1" objects="1" scenarios="1"/>
  <mergeCells count="20">
    <mergeCell ref="B2:F2"/>
    <mergeCell ref="B13:B15"/>
    <mergeCell ref="B16:B20"/>
    <mergeCell ref="B34:B36"/>
    <mergeCell ref="B8:B9"/>
    <mergeCell ref="B29:B30"/>
    <mergeCell ref="B96:F96"/>
    <mergeCell ref="B89:B90"/>
    <mergeCell ref="B24:F24"/>
    <mergeCell ref="B77:F77"/>
    <mergeCell ref="B67:B69"/>
    <mergeCell ref="B70:B71"/>
    <mergeCell ref="B37:B41"/>
    <mergeCell ref="B45:F45"/>
    <mergeCell ref="B58:F58"/>
    <mergeCell ref="B62:B63"/>
    <mergeCell ref="B64:B66"/>
    <mergeCell ref="B81:B82"/>
    <mergeCell ref="B83:B85"/>
    <mergeCell ref="B86:B88"/>
  </mergeCells>
  <conditionalFormatting sqref="G6:G22 G27:G43 G60:G75 G79:G94 G98:G102">
    <cfRule type="expression" dxfId="51" priority="14">
      <formula>G6="ERRO"</formula>
    </cfRule>
  </conditionalFormatting>
  <conditionalFormatting sqref="G47:G53">
    <cfRule type="expression" dxfId="50" priority="1">
      <formula>G47="ERRO"</formula>
    </cfRule>
  </conditionalFormatting>
  <conditionalFormatting sqref="H13:DC14 H65:DC65 H86:DC87">
    <cfRule type="expression" dxfId="49" priority="12">
      <formula>OR(H13&gt;365,H13&lt;0)</formula>
    </cfRule>
  </conditionalFormatting>
  <conditionalFormatting sqref="H15:DC15 H36:DC36 H69:DC69 H88:DC88">
    <cfRule type="expression" dxfId="48" priority="8">
      <formula>OR(H15&gt;8760,H15&lt;0)</formula>
    </cfRule>
  </conditionalFormatting>
  <conditionalFormatting sqref="H16:DC16 H37:DC37">
    <cfRule type="expression" dxfId="47" priority="11">
      <formula>OR(H16&gt;3,H16&lt;0)</formula>
    </cfRule>
  </conditionalFormatting>
  <conditionalFormatting sqref="H17:DC17 H38:DC38">
    <cfRule type="expression" dxfId="46" priority="10">
      <formula>OR(H17&gt;22,H17&lt;0)</formula>
    </cfRule>
  </conditionalFormatting>
  <conditionalFormatting sqref="H18:DC18 H39:DC39">
    <cfRule type="expression" dxfId="45" priority="9">
      <formula>OR(H18&gt;12,H18&lt;0)</formula>
    </cfRule>
  </conditionalFormatting>
  <conditionalFormatting sqref="H20:DC20 H41:DC41 H71:DC71 H90:DC90">
    <cfRule type="expression" dxfId="44" priority="7">
      <formula>OR(H20&gt;1,H20&lt;0)</formula>
    </cfRule>
  </conditionalFormatting>
  <conditionalFormatting sqref="H34:DC35 H67:DC67">
    <cfRule type="expression" dxfId="43" priority="13">
      <formula>OR(H34&gt;365,H34&lt;0)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20:F20 E48:F48 A54:F98 E50:F50 A100:F100 A99:C99 E99:F99 A101:C101 E101:F101 DC1:IV1 A6:A8 A10:A13 C13:G13 A16 C16:G16 A23:F25 A21:A22 C21:F22 A30:F30 A27:A29 C27:F29 A35:F36 A31:A34 C31:F34 A38:F41 A37 C37:F37 A44:F46 A42:A43 C42:F43 A47:A50 C47:F47 C48 C49:F49 C50 DC54:IV65536 DD27:IV51 A51:F51 A14:G14 A17:G17 A18:G18 K16:BD18 K13:BD14 H40:BD51 H54:BD101 A19:F19 C10:F12 A15:BD15 C8:G8 C6:F6 A1:BD3 K29:BD29 A102:BD65536 A9:G9 DD2:IV3 K6:BD6 H11:BD12 H19:BD25 DD6:IV25 H32:BD33 K30:BD30 C7:G7 K7:BD7 K8:BD8 K9:BD9 K10:BD10 K27:BD27 K28:BD28 K31:BD31 H26:DC26 H34:DC35 H37:DC39" unlockedFormula="1"/>
    <ignoredError sqref="G54:G101 G20 G23:G25 G28:G30 G32:G46 G48 G50 H36:BD36" formula="1" unlockedFormula="1"/>
    <ignoredError sqref="BE36:DC3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4"/>
  <dimension ref="B2:Z123"/>
  <sheetViews>
    <sheetView zoomScaleNormal="100" workbookViewId="0">
      <selection activeCell="C6" sqref="C6:G6"/>
    </sheetView>
  </sheetViews>
  <sheetFormatPr defaultColWidth="9.140625" defaultRowHeight="15" customHeight="1" x14ac:dyDescent="0.25"/>
  <cols>
    <col min="1" max="1" width="3.7109375" style="52" customWidth="1"/>
    <col min="2" max="2" width="3.28515625" style="52" bestFit="1" customWidth="1"/>
    <col min="3" max="7" width="10.7109375" style="52" customWidth="1"/>
    <col min="8" max="9" width="11.42578125" style="52" bestFit="1" customWidth="1"/>
    <col min="10" max="11" width="18.85546875" style="52" bestFit="1" customWidth="1"/>
    <col min="12" max="12" width="19.425781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49.1406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8.8554687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4011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AQUECIMENTO SOLAR DE ÁGUA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76"/>
      <c r="D6" s="876"/>
      <c r="E6" s="876"/>
      <c r="F6" s="876"/>
      <c r="G6" s="827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75">
        <v>2</v>
      </c>
      <c r="C7" s="876"/>
      <c r="D7" s="876"/>
      <c r="E7" s="876"/>
      <c r="F7" s="876"/>
      <c r="G7" s="827"/>
      <c r="H7" s="5"/>
      <c r="I7" s="3"/>
      <c r="J7" s="1"/>
      <c r="K7" s="143">
        <f t="shared" ref="K7:K26" si="0">N7-L7-M7</f>
        <v>0</v>
      </c>
      <c r="L7" s="1"/>
      <c r="M7" s="1"/>
      <c r="N7" s="143">
        <f t="shared" ref="N7:N26" si="1">I7*J7</f>
        <v>0</v>
      </c>
      <c r="P7" s="168">
        <f t="shared" ref="P7:P25" si="2">B7</f>
        <v>2</v>
      </c>
      <c r="Q7" s="834" t="str">
        <f>IF(OR(C7=0,C7=""),"",C7)</f>
        <v/>
      </c>
      <c r="R7" s="834"/>
      <c r="S7" s="834"/>
      <c r="T7" s="834"/>
      <c r="U7" s="835"/>
      <c r="V7" s="171" t="str">
        <f t="shared" ref="V7:V26" si="3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</row>
    <row r="8" spans="2:26" ht="15" customHeight="1" x14ac:dyDescent="0.25">
      <c r="B8" s="168">
        <v>3</v>
      </c>
      <c r="C8" s="876"/>
      <c r="D8" s="876"/>
      <c r="E8" s="876"/>
      <c r="F8" s="876"/>
      <c r="G8" s="827"/>
      <c r="H8" s="5"/>
      <c r="I8" s="3"/>
      <c r="J8" s="1"/>
      <c r="K8" s="143">
        <f t="shared" si="0"/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 t="shared" ref="Q8:Q25" si="4">IF(OR(C8=0,C8=""),"",C8)</f>
        <v/>
      </c>
      <c r="R8" s="834"/>
      <c r="S8" s="834"/>
      <c r="T8" s="834"/>
      <c r="U8" s="835"/>
      <c r="V8" s="171" t="str">
        <f t="shared" si="3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</row>
    <row r="9" spans="2:26" ht="15" customHeight="1" x14ac:dyDescent="0.25">
      <c r="B9" s="175">
        <v>4</v>
      </c>
      <c r="C9" s="876"/>
      <c r="D9" s="876"/>
      <c r="E9" s="876"/>
      <c r="F9" s="876"/>
      <c r="G9" s="827"/>
      <c r="H9" s="5"/>
      <c r="I9" s="3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4"/>
        <v/>
      </c>
      <c r="R9" s="834"/>
      <c r="S9" s="834"/>
      <c r="T9" s="834"/>
      <c r="U9" s="835"/>
      <c r="V9" s="171" t="str">
        <f t="shared" si="3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</row>
    <row r="10" spans="2:26" ht="15" customHeight="1" x14ac:dyDescent="0.25">
      <c r="B10" s="168">
        <v>5</v>
      </c>
      <c r="C10" s="539"/>
      <c r="D10" s="539"/>
      <c r="E10" s="539"/>
      <c r="F10" s="539"/>
      <c r="G10" s="534"/>
      <c r="H10" s="5"/>
      <c r="I10" s="3"/>
      <c r="J10" s="1"/>
      <c r="K10" s="143">
        <f>N10-L10-M10</f>
        <v>0</v>
      </c>
      <c r="L10" s="1"/>
      <c r="M10" s="1"/>
      <c r="N10" s="143">
        <f t="shared" si="1"/>
        <v>0</v>
      </c>
      <c r="P10" s="168">
        <f t="shared" si="2"/>
        <v>5</v>
      </c>
      <c r="Q10" s="834" t="str">
        <f t="shared" si="4"/>
        <v/>
      </c>
      <c r="R10" s="834"/>
      <c r="S10" s="834"/>
      <c r="T10" s="834"/>
      <c r="U10" s="835"/>
      <c r="V10" s="171" t="str">
        <f t="shared" si="3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</row>
    <row r="11" spans="2:26" ht="15" customHeight="1" x14ac:dyDescent="0.25">
      <c r="B11" s="175">
        <v>6</v>
      </c>
      <c r="C11" s="539"/>
      <c r="D11" s="539"/>
      <c r="E11" s="539"/>
      <c r="F11" s="539"/>
      <c r="G11" s="534"/>
      <c r="H11" s="5"/>
      <c r="I11" s="3"/>
      <c r="J11" s="1"/>
      <c r="K11" s="143">
        <f t="shared" si="0"/>
        <v>0</v>
      </c>
      <c r="L11" s="1"/>
      <c r="M11" s="1"/>
      <c r="N11" s="143">
        <f t="shared" si="1"/>
        <v>0</v>
      </c>
      <c r="P11" s="168">
        <f t="shared" si="2"/>
        <v>6</v>
      </c>
      <c r="Q11" s="834" t="str">
        <f t="shared" si="4"/>
        <v/>
      </c>
      <c r="R11" s="834"/>
      <c r="S11" s="834"/>
      <c r="T11" s="834"/>
      <c r="U11" s="835"/>
      <c r="V11" s="171" t="str">
        <f t="shared" si="3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</row>
    <row r="12" spans="2:26" ht="15" customHeight="1" x14ac:dyDescent="0.25">
      <c r="B12" s="168">
        <v>7</v>
      </c>
      <c r="C12" s="539"/>
      <c r="D12" s="539"/>
      <c r="E12" s="539"/>
      <c r="F12" s="539"/>
      <c r="G12" s="534"/>
      <c r="H12" s="5"/>
      <c r="I12" s="3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4"/>
        <v/>
      </c>
      <c r="R12" s="834"/>
      <c r="S12" s="834"/>
      <c r="T12" s="834"/>
      <c r="U12" s="835"/>
      <c r="V12" s="171" t="str">
        <f t="shared" si="3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</row>
    <row r="13" spans="2:26" ht="15" customHeight="1" x14ac:dyDescent="0.25">
      <c r="B13" s="175">
        <v>8</v>
      </c>
      <c r="C13" s="539"/>
      <c r="D13" s="539"/>
      <c r="E13" s="539"/>
      <c r="F13" s="539"/>
      <c r="G13" s="534"/>
      <c r="H13" s="5"/>
      <c r="I13" s="3"/>
      <c r="J13" s="1"/>
      <c r="K13" s="143">
        <f t="shared" si="0"/>
        <v>0</v>
      </c>
      <c r="L13" s="1"/>
      <c r="M13" s="1"/>
      <c r="N13" s="143">
        <f>I13*J13</f>
        <v>0</v>
      </c>
      <c r="P13" s="168">
        <f t="shared" si="2"/>
        <v>8</v>
      </c>
      <c r="Q13" s="834" t="str">
        <f t="shared" si="4"/>
        <v/>
      </c>
      <c r="R13" s="834"/>
      <c r="S13" s="834"/>
      <c r="T13" s="834"/>
      <c r="U13" s="835"/>
      <c r="V13" s="171" t="str">
        <f t="shared" si="3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</row>
    <row r="14" spans="2:26" ht="15" customHeight="1" x14ac:dyDescent="0.25">
      <c r="B14" s="168">
        <v>9</v>
      </c>
      <c r="C14" s="539"/>
      <c r="D14" s="539"/>
      <c r="E14" s="539"/>
      <c r="F14" s="539"/>
      <c r="G14" s="534"/>
      <c r="H14" s="5"/>
      <c r="I14" s="3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4"/>
        <v/>
      </c>
      <c r="R14" s="834"/>
      <c r="S14" s="834"/>
      <c r="T14" s="834"/>
      <c r="U14" s="835"/>
      <c r="V14" s="171" t="str">
        <f t="shared" si="3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</row>
    <row r="15" spans="2:26" ht="15" customHeight="1" x14ac:dyDescent="0.25">
      <c r="B15" s="175">
        <v>10</v>
      </c>
      <c r="C15" s="539"/>
      <c r="D15" s="539"/>
      <c r="E15" s="539"/>
      <c r="F15" s="539"/>
      <c r="G15" s="534"/>
      <c r="H15" s="5"/>
      <c r="I15" s="3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4"/>
        <v/>
      </c>
      <c r="R15" s="834"/>
      <c r="S15" s="834"/>
      <c r="T15" s="834"/>
      <c r="U15" s="835"/>
      <c r="V15" s="171" t="str">
        <f t="shared" si="3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</row>
    <row r="16" spans="2:26" ht="15" customHeight="1" x14ac:dyDescent="0.25">
      <c r="B16" s="168">
        <v>11</v>
      </c>
      <c r="C16" s="539"/>
      <c r="D16" s="539"/>
      <c r="E16" s="539"/>
      <c r="F16" s="539"/>
      <c r="G16" s="534"/>
      <c r="H16" s="5"/>
      <c r="I16" s="3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4"/>
        <v/>
      </c>
      <c r="R16" s="834"/>
      <c r="S16" s="834"/>
      <c r="T16" s="834"/>
      <c r="U16" s="835"/>
      <c r="V16" s="171" t="str">
        <f t="shared" si="3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</row>
    <row r="17" spans="2:25" ht="15" customHeight="1" x14ac:dyDescent="0.25">
      <c r="B17" s="175">
        <v>12</v>
      </c>
      <c r="C17" s="539"/>
      <c r="D17" s="539"/>
      <c r="E17" s="539"/>
      <c r="F17" s="539"/>
      <c r="G17" s="534"/>
      <c r="H17" s="5"/>
      <c r="I17" s="3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4"/>
        <v/>
      </c>
      <c r="R17" s="834"/>
      <c r="S17" s="834"/>
      <c r="T17" s="834"/>
      <c r="U17" s="835"/>
      <c r="V17" s="171" t="str">
        <f t="shared" si="3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</row>
    <row r="18" spans="2:25" ht="15" customHeight="1" x14ac:dyDescent="0.25">
      <c r="B18" s="168">
        <v>13</v>
      </c>
      <c r="C18" s="539"/>
      <c r="D18" s="539"/>
      <c r="E18" s="539"/>
      <c r="F18" s="539"/>
      <c r="G18" s="534"/>
      <c r="H18" s="5"/>
      <c r="I18" s="3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4"/>
        <v/>
      </c>
      <c r="R18" s="834"/>
      <c r="S18" s="834"/>
      <c r="T18" s="834"/>
      <c r="U18" s="835"/>
      <c r="V18" s="171" t="str">
        <f t="shared" si="3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</row>
    <row r="19" spans="2:25" ht="15" customHeight="1" x14ac:dyDescent="0.25">
      <c r="B19" s="175">
        <v>14</v>
      </c>
      <c r="C19" s="539"/>
      <c r="D19" s="539"/>
      <c r="E19" s="539"/>
      <c r="F19" s="539"/>
      <c r="G19" s="534"/>
      <c r="H19" s="5"/>
      <c r="I19" s="3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4"/>
        <v/>
      </c>
      <c r="R19" s="834"/>
      <c r="S19" s="834"/>
      <c r="T19" s="834"/>
      <c r="U19" s="835"/>
      <c r="V19" s="171" t="str">
        <f t="shared" si="3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</row>
    <row r="20" spans="2:25" ht="15" customHeight="1" x14ac:dyDescent="0.25">
      <c r="B20" s="168">
        <v>15</v>
      </c>
      <c r="C20" s="539"/>
      <c r="D20" s="539"/>
      <c r="E20" s="539"/>
      <c r="F20" s="539"/>
      <c r="G20" s="534"/>
      <c r="H20" s="5"/>
      <c r="I20" s="3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4"/>
        <v/>
      </c>
      <c r="R20" s="834"/>
      <c r="S20" s="834"/>
      <c r="T20" s="834"/>
      <c r="U20" s="835"/>
      <c r="V20" s="171" t="str">
        <f t="shared" si="3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</row>
    <row r="21" spans="2:25" ht="15" customHeight="1" x14ac:dyDescent="0.25">
      <c r="B21" s="175">
        <v>16</v>
      </c>
      <c r="C21" s="539"/>
      <c r="D21" s="539"/>
      <c r="E21" s="539"/>
      <c r="F21" s="539"/>
      <c r="G21" s="534"/>
      <c r="H21" s="5"/>
      <c r="I21" s="3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4"/>
        <v/>
      </c>
      <c r="R21" s="834"/>
      <c r="S21" s="834"/>
      <c r="T21" s="834"/>
      <c r="U21" s="835"/>
      <c r="V21" s="171" t="str">
        <f t="shared" si="3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</row>
    <row r="22" spans="2:25" ht="15" customHeight="1" x14ac:dyDescent="0.25">
      <c r="B22" s="168">
        <v>17</v>
      </c>
      <c r="C22" s="539"/>
      <c r="D22" s="539"/>
      <c r="E22" s="539"/>
      <c r="F22" s="539"/>
      <c r="G22" s="534"/>
      <c r="H22" s="5"/>
      <c r="I22" s="3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4"/>
        <v/>
      </c>
      <c r="R22" s="834"/>
      <c r="S22" s="834"/>
      <c r="T22" s="834"/>
      <c r="U22" s="835"/>
      <c r="V22" s="171" t="str">
        <f t="shared" si="3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</row>
    <row r="23" spans="2:25" ht="15" customHeight="1" x14ac:dyDescent="0.25">
      <c r="B23" s="175">
        <v>18</v>
      </c>
      <c r="C23" s="539"/>
      <c r="D23" s="539"/>
      <c r="E23" s="539"/>
      <c r="F23" s="539"/>
      <c r="G23" s="534"/>
      <c r="H23" s="5"/>
      <c r="I23" s="3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4"/>
        <v/>
      </c>
      <c r="R23" s="834"/>
      <c r="S23" s="834"/>
      <c r="T23" s="834"/>
      <c r="U23" s="835"/>
      <c r="V23" s="171" t="str">
        <f t="shared" si="3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</row>
    <row r="24" spans="2:25" ht="15" customHeight="1" x14ac:dyDescent="0.25">
      <c r="B24" s="168">
        <v>19</v>
      </c>
      <c r="C24" s="539"/>
      <c r="D24" s="539"/>
      <c r="E24" s="539"/>
      <c r="F24" s="539"/>
      <c r="G24" s="534"/>
      <c r="H24" s="5"/>
      <c r="I24" s="3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4"/>
        <v/>
      </c>
      <c r="R24" s="834"/>
      <c r="S24" s="834"/>
      <c r="T24" s="834"/>
      <c r="U24" s="835"/>
      <c r="V24" s="171" t="str">
        <f t="shared" si="3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</row>
    <row r="25" spans="2:25" ht="15" customHeight="1" x14ac:dyDescent="0.25">
      <c r="B25" s="175">
        <v>20</v>
      </c>
      <c r="C25" s="539"/>
      <c r="D25" s="539"/>
      <c r="E25" s="539"/>
      <c r="F25" s="539"/>
      <c r="G25" s="534"/>
      <c r="H25" s="5"/>
      <c r="I25" s="3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4"/>
        <v/>
      </c>
      <c r="R25" s="834"/>
      <c r="S25" s="834"/>
      <c r="T25" s="834"/>
      <c r="U25" s="835"/>
      <c r="V25" s="171" t="str">
        <f t="shared" si="3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</row>
    <row r="26" spans="2:25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 t="shared" si="0"/>
        <v>0</v>
      </c>
      <c r="L26" s="1"/>
      <c r="M26" s="1"/>
      <c r="N26" s="143">
        <f t="shared" si="1"/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 t="shared" si="3"/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5" ht="15" customHeight="1" x14ac:dyDescent="0.25">
      <c r="B27" s="180"/>
      <c r="C27" s="844" t="s">
        <v>4489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4490</v>
      </c>
      <c r="Q27" s="884"/>
      <c r="R27" s="884"/>
      <c r="S27" s="884"/>
      <c r="T27" s="884"/>
      <c r="U27" s="884"/>
      <c r="V27" s="885"/>
      <c r="W27" s="182" t="s">
        <v>4491</v>
      </c>
      <c r="X27" s="183">
        <f>SUM(X6:X26)</f>
        <v>0</v>
      </c>
      <c r="Y27" s="183">
        <f>SUM(Y6:Y26)</f>
        <v>0</v>
      </c>
    </row>
    <row r="28" spans="2:25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5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4492</v>
      </c>
      <c r="Q29" s="190"/>
      <c r="R29" s="191">
        <f>RCB!$G$11</f>
        <v>0</v>
      </c>
      <c r="T29" s="189" t="s">
        <v>4493</v>
      </c>
      <c r="U29" s="190"/>
      <c r="V29" s="191">
        <f>RCB!$J$11</f>
        <v>0</v>
      </c>
    </row>
    <row r="30" spans="2:25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5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>N31-L31-M31</f>
        <v>0</v>
      </c>
      <c r="L31" s="143">
        <v>0</v>
      </c>
      <c r="M31" s="143">
        <v>0</v>
      </c>
      <c r="N31" s="143">
        <f>H31*I31*J31</f>
        <v>0</v>
      </c>
    </row>
    <row r="32" spans="2:25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ref="K32:K37" si="5">N32-L32-M32</f>
        <v>0</v>
      </c>
      <c r="L32" s="143">
        <v>0</v>
      </c>
      <c r="M32" s="143">
        <v>0</v>
      </c>
      <c r="N32" s="143">
        <f t="shared" ref="N32:N37" si="6">H32*I32*J32</f>
        <v>0</v>
      </c>
      <c r="P32" s="779" t="s">
        <v>4494</v>
      </c>
      <c r="Q32" s="779"/>
      <c r="R32" s="779"/>
      <c r="S32" s="779"/>
      <c r="T32" s="779"/>
      <c r="U32" s="779"/>
      <c r="V32" s="779"/>
      <c r="W32" s="779"/>
      <c r="X32" s="779"/>
    </row>
    <row r="33" spans="2:24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 t="shared" si="6"/>
        <v>0</v>
      </c>
      <c r="P33" s="189" t="s">
        <v>4495</v>
      </c>
      <c r="Q33" s="190"/>
      <c r="R33" s="190"/>
      <c r="S33" s="190"/>
      <c r="T33" s="190"/>
      <c r="U33" s="190"/>
      <c r="V33" s="546" t="s">
        <v>4496</v>
      </c>
      <c r="W33" s="916"/>
      <c r="X33" s="917"/>
    </row>
    <row r="34" spans="2:24" ht="15" customHeight="1" x14ac:dyDescent="0.25">
      <c r="B34" s="168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>H34*I34*J34</f>
        <v>0</v>
      </c>
      <c r="P34" s="189" t="s">
        <v>4497</v>
      </c>
      <c r="Q34" s="190"/>
      <c r="R34" s="190"/>
      <c r="S34" s="190"/>
      <c r="T34" s="190"/>
      <c r="U34" s="190"/>
      <c r="V34" s="546" t="s">
        <v>3911</v>
      </c>
      <c r="W34" s="918">
        <v>0</v>
      </c>
      <c r="X34" s="919"/>
    </row>
    <row r="35" spans="2:24" ht="15" customHeight="1" x14ac:dyDescent="0.25">
      <c r="B35" s="175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  <c r="P35" s="189"/>
      <c r="Q35" s="190"/>
      <c r="R35" s="190"/>
      <c r="S35" s="190"/>
      <c r="T35" s="190"/>
      <c r="U35" s="190"/>
      <c r="V35" s="546"/>
      <c r="W35" s="548"/>
      <c r="X35" s="549"/>
    </row>
    <row r="36" spans="2:24" ht="15" customHeight="1" x14ac:dyDescent="0.25">
      <c r="B36" s="168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  <c r="P36" s="189"/>
      <c r="Q36" s="190"/>
      <c r="R36" s="190"/>
      <c r="S36" s="190"/>
      <c r="T36" s="190"/>
      <c r="U36" s="190"/>
      <c r="V36" s="546"/>
      <c r="W36" s="548"/>
      <c r="X36" s="549"/>
    </row>
    <row r="37" spans="2:24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  <c r="P37" s="189" t="s">
        <v>4498</v>
      </c>
      <c r="Q37" s="190"/>
      <c r="R37" s="190"/>
      <c r="S37" s="190"/>
      <c r="T37" s="190"/>
      <c r="U37" s="190"/>
      <c r="V37" s="546" t="s">
        <v>3911</v>
      </c>
      <c r="W37" s="918">
        <v>0</v>
      </c>
      <c r="X37" s="919"/>
    </row>
    <row r="38" spans="2:24" ht="15" customHeight="1" x14ac:dyDescent="0.25">
      <c r="B38" s="195"/>
      <c r="C38" s="877" t="s">
        <v>4499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  <c r="P38" s="189" t="s">
        <v>4500</v>
      </c>
      <c r="Q38" s="190"/>
      <c r="R38" s="190"/>
      <c r="S38" s="190"/>
      <c r="T38" s="190"/>
      <c r="U38" s="190"/>
      <c r="V38" s="546" t="s">
        <v>4501</v>
      </c>
      <c r="W38" s="916"/>
      <c r="X38" s="917"/>
    </row>
    <row r="39" spans="2:24" x14ac:dyDescent="0.25">
      <c r="B39" s="180"/>
      <c r="C39" s="844" t="s">
        <v>4502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24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24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24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24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24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24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24" ht="15" customHeight="1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24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Descarte!K67</f>
        <v>0</v>
      </c>
      <c r="L47" s="143">
        <v>0</v>
      </c>
      <c r="M47" s="143">
        <v>0</v>
      </c>
      <c r="N47" s="143">
        <f>Descarte!L67</f>
        <v>0</v>
      </c>
    </row>
    <row r="48" spans="2:24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'M&amp;V'!M307</f>
        <v>0</v>
      </c>
      <c r="L48" s="143">
        <v>0</v>
      </c>
      <c r="M48" s="143">
        <v>0</v>
      </c>
      <c r="N48" s="143">
        <f>'M&amp;V'!N307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4503</v>
      </c>
      <c r="D54" s="895"/>
      <c r="E54" s="895"/>
      <c r="F54" s="895"/>
      <c r="G54" s="895"/>
      <c r="H54" s="895"/>
      <c r="I54" s="895"/>
      <c r="J54" s="896"/>
      <c r="K54" s="148">
        <f>SUM(K53,K46:K48)</f>
        <v>0</v>
      </c>
      <c r="L54" s="148">
        <f>SUM(L53,L46:L48)</f>
        <v>0</v>
      </c>
      <c r="M54" s="148">
        <f>SUM(M53,M46:M48)</f>
        <v>0</v>
      </c>
      <c r="N54" s="148">
        <f>SUM(N53,N46:N48)</f>
        <v>0</v>
      </c>
    </row>
    <row r="55" spans="2:25" ht="15" customHeight="1" x14ac:dyDescent="0.25">
      <c r="B55" s="198"/>
      <c r="C55" s="823" t="s">
        <v>4504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4034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AQUECIMENTO SOLAR DE ÁGUA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 t="e">
        <f>IF(AND(K61&gt;0,CustoContabil!#REF!&gt;0),K61*(CustoContabil!#REF!/CustoContabil!#REF!)*W61,0)</f>
        <v>#REF!</v>
      </c>
      <c r="Y61" s="204" t="e">
        <f>IF(AND(N61&gt;0,CustoContabil!#REF!&gt;0),N61*(CustoContabil!#REF!/CustoContabil!#REF!)*W61,0)</f>
        <v>#REF!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7">N62-L62-M62</f>
        <v>0</v>
      </c>
      <c r="L62" s="142"/>
      <c r="M62" s="142"/>
      <c r="N62" s="158">
        <f t="shared" ref="N62:N81" si="8">I62*J62</f>
        <v>0</v>
      </c>
      <c r="P62" s="201">
        <f t="shared" ref="P62:P80" si="9">B62</f>
        <v>2</v>
      </c>
      <c r="Q62" s="866" t="str">
        <f t="shared" ref="Q62:Q81" si="10">IF(OR(C62=0,C62=""),"",C62)</f>
        <v/>
      </c>
      <c r="R62" s="866"/>
      <c r="S62" s="866"/>
      <c r="T62" s="866"/>
      <c r="U62" s="867"/>
      <c r="V62" s="202" t="str">
        <f t="shared" ref="V62:V81" si="11">IF(N62=0,"",H62)</f>
        <v/>
      </c>
      <c r="W62" s="203">
        <f>IF(OR(V62="",V62=0),0,(Projeto!$AD$8*((1+Projeto!$AD$8)^V62))/(((1+Projeto!$AD$8)^V62)-1))</f>
        <v>0</v>
      </c>
      <c r="X62" s="204" t="e">
        <f>IF(AND(K62&gt;0,CustoContabil!#REF!&gt;0),K62*(CustoContabil!#REF!/CustoContabil!#REF!)*W62,0)</f>
        <v>#REF!</v>
      </c>
      <c r="Y62" s="204" t="e">
        <f>IF(AND(N62&gt;0,CustoContabil!#REF!&gt;0),N62*(CustoContabil!#REF!/CustoContabil!#REF!)*W62,0)</f>
        <v>#REF!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 t="e">
        <f>IF(AND(K63&gt;0,CustoContabil!#REF!&gt;0),K63*(CustoContabil!#REF!/CustoContabil!#REF!)*W63,0)</f>
        <v>#REF!</v>
      </c>
      <c r="Y63" s="204" t="e">
        <f>IF(AND(N63&gt;0,CustoContabil!#REF!&gt;0),N63*(CustoContabil!#REF!/CustoContabil!#REF!)*W63,0)</f>
        <v>#REF!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 t="e">
        <f>IF(AND(K64&gt;0,CustoContabil!#REF!&gt;0),K64*(CustoContabil!#REF!/CustoContabil!#REF!)*W64,0)</f>
        <v>#REF!</v>
      </c>
      <c r="Y64" s="204" t="e">
        <f>IF(AND(N64&gt;0,CustoContabil!#REF!&gt;0),N64*(CustoContabil!#REF!/CustoContabil!#REF!)*W64,0)</f>
        <v>#REF!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 t="e">
        <f>IF(AND(K65&gt;0,CustoContabil!#REF!&gt;0),K65*(CustoContabil!#REF!/CustoContabil!#REF!)*W65,0)</f>
        <v>#REF!</v>
      </c>
      <c r="Y65" s="204" t="e">
        <f>IF(AND(N65&gt;0,CustoContabil!#REF!&gt;0),N65*(CustoContabil!#REF!/CustoContabil!#REF!)*W65,0)</f>
        <v>#REF!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 t="e">
        <f>IF(AND(K66&gt;0,CustoContabil!#REF!&gt;0),K66*(CustoContabil!#REF!/CustoContabil!#REF!)*W66,0)</f>
        <v>#REF!</v>
      </c>
      <c r="Y66" s="204" t="e">
        <f>IF(AND(N66&gt;0,CustoContabil!#REF!&gt;0),N66*(CustoContabil!#REF!/CustoContabil!#REF!)*W66,0)</f>
        <v>#REF!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 t="e">
        <f>IF(AND(K67&gt;0,CustoContabil!#REF!&gt;0),K67*(CustoContabil!#REF!/CustoContabil!#REF!)*W67,0)</f>
        <v>#REF!</v>
      </c>
      <c r="Y67" s="204" t="e">
        <f>IF(AND(N67&gt;0,CustoContabil!#REF!&gt;0),N67*(CustoContabil!#REF!/CustoContabil!#REF!)*W67,0)</f>
        <v>#REF!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 t="e">
        <f>IF(AND(K68&gt;0,CustoContabil!#REF!&gt;0),K68*(CustoContabil!#REF!/CustoContabil!#REF!)*W68,0)</f>
        <v>#REF!</v>
      </c>
      <c r="Y68" s="204" t="e">
        <f>IF(AND(N68&gt;0,CustoContabil!#REF!&gt;0),N68*(CustoContabil!#REF!/CustoContabil!#REF!)*W68,0)</f>
        <v>#REF!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 t="e">
        <f>IF(AND(K69&gt;0,CustoContabil!#REF!&gt;0),K69*(CustoContabil!#REF!/CustoContabil!#REF!)*W69,0)</f>
        <v>#REF!</v>
      </c>
      <c r="Y69" s="204" t="e">
        <f>IF(AND(N69&gt;0,CustoContabil!#REF!&gt;0),N69*(CustoContabil!#REF!/CustoContabil!#REF!)*W69,0)</f>
        <v>#REF!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 t="e">
        <f>IF(AND(K70&gt;0,CustoContabil!#REF!&gt;0),K70*(CustoContabil!#REF!/CustoContabil!#REF!)*W70,0)</f>
        <v>#REF!</v>
      </c>
      <c r="Y70" s="204" t="e">
        <f>IF(AND(N70&gt;0,CustoContabil!#REF!&gt;0),N70*(CustoContabil!#REF!/CustoContabil!#REF!)*W70,0)</f>
        <v>#REF!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 t="e">
        <f>IF(AND(K71&gt;0,CustoContabil!#REF!&gt;0),K71*(CustoContabil!#REF!/CustoContabil!#REF!)*W71,0)</f>
        <v>#REF!</v>
      </c>
      <c r="Y71" s="204" t="e">
        <f>IF(AND(N71&gt;0,CustoContabil!#REF!&gt;0),N71*(CustoContabil!#REF!/CustoContabil!#REF!)*W71,0)</f>
        <v>#REF!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 t="e">
        <f>IF(AND(K72&gt;0,CustoContabil!#REF!&gt;0),K72*(CustoContabil!#REF!/CustoContabil!#REF!)*W72,0)</f>
        <v>#REF!</v>
      </c>
      <c r="Y72" s="204" t="e">
        <f>IF(AND(N72&gt;0,CustoContabil!#REF!&gt;0),N72*(CustoContabil!#REF!/CustoContabil!#REF!)*W72,0)</f>
        <v>#REF!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 t="e">
        <f>IF(AND(K73&gt;0,CustoContabil!#REF!&gt;0),K73*(CustoContabil!#REF!/CustoContabil!#REF!)*W73,0)</f>
        <v>#REF!</v>
      </c>
      <c r="Y73" s="204" t="e">
        <f>IF(AND(N73&gt;0,CustoContabil!#REF!&gt;0),N73*(CustoContabil!#REF!/CustoContabil!#REF!)*W73,0)</f>
        <v>#REF!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 t="e">
        <f>IF(AND(K74&gt;0,CustoContabil!#REF!&gt;0),K74*(CustoContabil!#REF!/CustoContabil!#REF!)*W74,0)</f>
        <v>#REF!</v>
      </c>
      <c r="Y74" s="204" t="e">
        <f>IF(AND(N74&gt;0,CustoContabil!#REF!&gt;0),N74*(CustoContabil!#REF!/CustoContabil!#REF!)*W74,0)</f>
        <v>#REF!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 t="e">
        <f>IF(AND(K75&gt;0,CustoContabil!#REF!&gt;0),K75*(CustoContabil!#REF!/CustoContabil!#REF!)*W75,0)</f>
        <v>#REF!</v>
      </c>
      <c r="Y75" s="204" t="e">
        <f>IF(AND(N75&gt;0,CustoContabil!#REF!&gt;0),N75*(CustoContabil!#REF!/CustoContabil!#REF!)*W75,0)</f>
        <v>#REF!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 t="e">
        <f>IF(AND(K76&gt;0,CustoContabil!#REF!&gt;0),K76*(CustoContabil!#REF!/CustoContabil!#REF!)*W76,0)</f>
        <v>#REF!</v>
      </c>
      <c r="Y76" s="204" t="e">
        <f>IF(AND(N76&gt;0,CustoContabil!#REF!&gt;0),N76*(CustoContabil!#REF!/CustoContabil!#REF!)*W76,0)</f>
        <v>#REF!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 t="e">
        <f>IF(AND(K77&gt;0,CustoContabil!#REF!&gt;0),K77*(CustoContabil!#REF!/CustoContabil!#REF!)*W77,0)</f>
        <v>#REF!</v>
      </c>
      <c r="Y77" s="204" t="e">
        <f>IF(AND(N77&gt;0,CustoContabil!#REF!&gt;0),N77*(CustoContabil!#REF!/CustoContabil!#REF!)*W77,0)</f>
        <v>#REF!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 t="e">
        <f>IF(AND(K78&gt;0,CustoContabil!#REF!&gt;0),K78*(CustoContabil!#REF!/CustoContabil!#REF!)*W78,0)</f>
        <v>#REF!</v>
      </c>
      <c r="Y78" s="204" t="e">
        <f>IF(AND(N78&gt;0,CustoContabil!#REF!&gt;0),N78*(CustoContabil!#REF!/CustoContabil!#REF!)*W78,0)</f>
        <v>#REF!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 t="e">
        <f>IF(AND(K79&gt;0,CustoContabil!#REF!&gt;0),K79*(CustoContabil!#REF!/CustoContabil!#REF!)*W79,0)</f>
        <v>#REF!</v>
      </c>
      <c r="Y79" s="204" t="e">
        <f>IF(AND(N79&gt;0,CustoContabil!#REF!&gt;0),N79*(CustoContabil!#REF!/CustoContabil!#REF!)*W79,0)</f>
        <v>#REF!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 t="e">
        <f>IF(AND(K80&gt;0,CustoContabil!#REF!&gt;0),K80*(CustoContabil!#REF!/CustoContabil!#REF!)*W80,0)</f>
        <v>#REF!</v>
      </c>
      <c r="Y80" s="204" t="e">
        <f>IF(AND(N80&gt;0,CustoContabil!#REF!&gt;0),N80*(CustoContabil!#REF!/CustoContabil!#REF!)*W80,0)</f>
        <v>#REF!</v>
      </c>
    </row>
    <row r="81" spans="2:25" ht="15" hidden="1" customHeight="1" x14ac:dyDescent="0.25">
      <c r="B81" s="201"/>
      <c r="C81" s="868" t="s">
        <v>4066</v>
      </c>
      <c r="D81" s="869"/>
      <c r="E81" s="869"/>
      <c r="F81" s="869"/>
      <c r="G81" s="869"/>
      <c r="H81" s="205">
        <v>20</v>
      </c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/>
      <c r="Q81" s="866" t="str">
        <f t="shared" si="10"/>
        <v>Acessórios</v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 t="e">
        <f>IF(AND(K81&gt;0,CustoContabil!#REF!&gt;0),K81*(CustoContabil!#REF!/CustoContabil!#REF!)*W81,0)</f>
        <v>#REF!</v>
      </c>
      <c r="Y81" s="204" t="e">
        <f>IF(AND(N81&gt;0,CustoContabil!#REF!&gt;0),N81*(CustoContabil!#REF!/CustoContabil!#REF!)*W81,0)</f>
        <v>#REF!</v>
      </c>
    </row>
    <row r="82" spans="2:25" ht="15" hidden="1" customHeight="1" x14ac:dyDescent="0.25">
      <c r="B82" s="206"/>
      <c r="C82" s="838" t="s">
        <v>4489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4505</v>
      </c>
      <c r="Q82" s="872"/>
      <c r="R82" s="872"/>
      <c r="S82" s="872"/>
      <c r="T82" s="872"/>
      <c r="U82" s="872"/>
      <c r="V82" s="873"/>
      <c r="W82" s="208" t="s">
        <v>4491</v>
      </c>
      <c r="X82" s="209" t="e">
        <f>SUM(X61:X81)</f>
        <v>#REF!</v>
      </c>
      <c r="Y82" s="209" t="e">
        <f>SUM(Y61:Y81)</f>
        <v>#REF!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4492</v>
      </c>
      <c r="Q84" s="214"/>
      <c r="R84" s="215">
        <f>RCB!$G$34</f>
        <v>0</v>
      </c>
      <c r="T84" s="213" t="s">
        <v>4493</v>
      </c>
      <c r="U84" s="214"/>
      <c r="V84" s="215">
        <f>RCB!$J$34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RCB!$H$30</f>
        <v>0</v>
      </c>
      <c r="T85" s="213" t="s">
        <v>4075</v>
      </c>
      <c r="U85" s="214"/>
      <c r="V85" s="215">
        <f>RCB!$K$30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  <c r="P87" s="826" t="s">
        <v>4506</v>
      </c>
      <c r="Q87" s="826"/>
      <c r="R87" s="826"/>
      <c r="S87" s="826"/>
      <c r="T87" s="826"/>
      <c r="U87" s="826"/>
      <c r="V87" s="826"/>
      <c r="W87" s="826"/>
      <c r="X87" s="826"/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  <c r="P88" s="213" t="s">
        <v>4495</v>
      </c>
      <c r="Q88" s="214"/>
      <c r="R88" s="214"/>
      <c r="S88" s="214"/>
      <c r="T88" s="214"/>
      <c r="U88" s="214"/>
      <c r="V88" s="295" t="s">
        <v>4496</v>
      </c>
      <c r="W88" s="912"/>
      <c r="X88" s="913"/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  <c r="P89" s="213" t="s">
        <v>4497</v>
      </c>
      <c r="Q89" s="214"/>
      <c r="R89" s="214"/>
      <c r="S89" s="214"/>
      <c r="T89" s="214"/>
      <c r="U89" s="214"/>
      <c r="V89" s="295" t="s">
        <v>3911</v>
      </c>
      <c r="W89" s="914">
        <v>0</v>
      </c>
      <c r="X89" s="915"/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  <c r="P90" s="213" t="s">
        <v>4498</v>
      </c>
      <c r="Q90" s="214"/>
      <c r="R90" s="214"/>
      <c r="S90" s="214"/>
      <c r="T90" s="214"/>
      <c r="U90" s="214"/>
      <c r="V90" s="295" t="s">
        <v>3911</v>
      </c>
      <c r="W90" s="914">
        <v>0</v>
      </c>
      <c r="X90" s="915"/>
    </row>
    <row r="91" spans="2:25" ht="15" hidden="1" customHeight="1" x14ac:dyDescent="0.25">
      <c r="B91" s="210"/>
      <c r="C91" s="874" t="s">
        <v>4499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  <c r="P91" s="213" t="s">
        <v>4500</v>
      </c>
      <c r="Q91" s="214"/>
      <c r="R91" s="214"/>
      <c r="S91" s="214"/>
      <c r="T91" s="214"/>
      <c r="U91" s="214"/>
      <c r="V91" s="295" t="s">
        <v>4501</v>
      </c>
      <c r="W91" s="912"/>
      <c r="X91" s="913"/>
    </row>
    <row r="92" spans="2:25" ht="15" hidden="1" customHeight="1" x14ac:dyDescent="0.25">
      <c r="B92" s="206"/>
      <c r="C92" s="838" t="s">
        <v>4507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90"/>
      <c r="M94" s="291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4508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4502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90"/>
      <c r="M104" s="291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4509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 t="e">
        <f>Descarte!K161</f>
        <v>#REF!</v>
      </c>
      <c r="L115" s="158" t="e">
        <f>Descarte!#REF!</f>
        <v>#REF!</v>
      </c>
      <c r="M115" s="158" t="e">
        <f>Descarte!#REF!</f>
        <v>#REF!</v>
      </c>
      <c r="N115" s="158">
        <f>Descarte!L161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 t="e">
        <f>'M&amp;V'!M601</f>
        <v>#REF!</v>
      </c>
      <c r="L116" s="158" t="e">
        <f>'M&amp;V'!#REF!</f>
        <v>#REF!</v>
      </c>
      <c r="M116" s="158" t="e">
        <f>'M&amp;V'!#REF!</f>
        <v>#REF!</v>
      </c>
      <c r="N116" s="158">
        <f>'M&amp;V'!N601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t="15" hidden="1" customHeight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t="15" hidden="1" customHeight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t="15" hidden="1" customHeight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t="15" hidden="1" customHeight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t="15" hidden="1" customHeight="1" x14ac:dyDescent="0.25">
      <c r="B122" s="217"/>
      <c r="C122" s="840" t="s">
        <v>4503</v>
      </c>
      <c r="D122" s="840"/>
      <c r="E122" s="840"/>
      <c r="F122" s="840"/>
      <c r="G122" s="840"/>
      <c r="H122" s="840"/>
      <c r="I122" s="840"/>
      <c r="J122" s="841"/>
      <c r="K122" s="164" t="e">
        <f>SUM(K104,K109,K114:K116,K121)</f>
        <v>#REF!</v>
      </c>
      <c r="L122" s="164" t="e">
        <f>SUM(L104,L109,L114:L116,L121)</f>
        <v>#REF!</v>
      </c>
      <c r="M122" s="164" t="e">
        <f>SUM(M104,M109,M114:M116,M121)</f>
        <v>#REF!</v>
      </c>
      <c r="N122" s="164">
        <f>SUM(N104,N109,N114:N116,N121)</f>
        <v>0</v>
      </c>
    </row>
    <row r="123" spans="2:16" ht="15" hidden="1" customHeight="1" x14ac:dyDescent="0.25">
      <c r="B123" s="218"/>
      <c r="C123" s="818" t="s">
        <v>4510</v>
      </c>
      <c r="D123" s="818"/>
      <c r="E123" s="818"/>
      <c r="F123" s="818"/>
      <c r="G123" s="818"/>
      <c r="H123" s="818"/>
      <c r="I123" s="818"/>
      <c r="J123" s="819"/>
      <c r="K123" s="209" t="e">
        <f>SUM(K101,K122)</f>
        <v>#REF!</v>
      </c>
      <c r="L123" s="209" t="e">
        <f>SUM(L101,L122)</f>
        <v>#REF!</v>
      </c>
      <c r="M123" s="209" t="e">
        <f>SUM(M101,M122)</f>
        <v>#REF!</v>
      </c>
      <c r="N123" s="209">
        <f>SUM(N101,N122)</f>
        <v>0</v>
      </c>
    </row>
  </sheetData>
  <sheetProtection algorithmName="SHA-512" hashValue="NeB+dW+OJXpSxkNL/AIoKHr0ejSBj/znL6di652iMisd0XcmOwLb8W+b6bPyPGuLv3Tw6IZGu8n26UMWnlWCvA==" saltValue="WrFIiY+BhQ8QtlGlTsnKhw==" spinCount="100000" sheet="1" objects="1" scenarios="1"/>
  <mergeCells count="173">
    <mergeCell ref="B2:N2"/>
    <mergeCell ref="B3:N3"/>
    <mergeCell ref="P2:Y2"/>
    <mergeCell ref="P3:Y3"/>
    <mergeCell ref="B4:J4"/>
    <mergeCell ref="K4:N4"/>
    <mergeCell ref="C9:G9"/>
    <mergeCell ref="C7:G7"/>
    <mergeCell ref="Q7:U7"/>
    <mergeCell ref="Q9:U9"/>
    <mergeCell ref="P4:X4"/>
    <mergeCell ref="B5:G5"/>
    <mergeCell ref="P5:U5"/>
    <mergeCell ref="C6:G6"/>
    <mergeCell ref="C8:G8"/>
    <mergeCell ref="Q8:U8"/>
    <mergeCell ref="B40:N40"/>
    <mergeCell ref="Q6:U6"/>
    <mergeCell ref="Q18:U18"/>
    <mergeCell ref="Q19:U19"/>
    <mergeCell ref="Q20:U20"/>
    <mergeCell ref="Q10:U10"/>
    <mergeCell ref="Q11:U11"/>
    <mergeCell ref="Q12:U12"/>
    <mergeCell ref="Q13:U13"/>
    <mergeCell ref="Q14:U14"/>
    <mergeCell ref="Q15:U15"/>
    <mergeCell ref="Q16:U16"/>
    <mergeCell ref="Q17:U17"/>
    <mergeCell ref="Q21:U21"/>
    <mergeCell ref="Q22:U22"/>
    <mergeCell ref="Q23:U23"/>
    <mergeCell ref="Q24:U24"/>
    <mergeCell ref="Q25:U25"/>
    <mergeCell ref="B30:G30"/>
    <mergeCell ref="C31:G31"/>
    <mergeCell ref="C32:G32"/>
    <mergeCell ref="C55:J55"/>
    <mergeCell ref="B57:N57"/>
    <mergeCell ref="B58:N58"/>
    <mergeCell ref="P57:Y57"/>
    <mergeCell ref="P58:Y58"/>
    <mergeCell ref="B28:J29"/>
    <mergeCell ref="K28:N29"/>
    <mergeCell ref="C26:G26"/>
    <mergeCell ref="Q26:U26"/>
    <mergeCell ref="C27:J27"/>
    <mergeCell ref="P27:V27"/>
    <mergeCell ref="B41:J41"/>
    <mergeCell ref="P32:X32"/>
    <mergeCell ref="W33:X33"/>
    <mergeCell ref="W34:X34"/>
    <mergeCell ref="W37:X37"/>
    <mergeCell ref="W38:X38"/>
    <mergeCell ref="C35:G35"/>
    <mergeCell ref="C36:G36"/>
    <mergeCell ref="C33:G33"/>
    <mergeCell ref="C34:G34"/>
    <mergeCell ref="C37:G37"/>
    <mergeCell ref="C38:J38"/>
    <mergeCell ref="C39:J39"/>
    <mergeCell ref="C46:J46"/>
    <mergeCell ref="C47:J47"/>
    <mergeCell ref="B42:H42"/>
    <mergeCell ref="C43:H43"/>
    <mergeCell ref="C44:H44"/>
    <mergeCell ref="C45:H45"/>
    <mergeCell ref="K41:N41"/>
    <mergeCell ref="C92:J92"/>
    <mergeCell ref="C84:J84"/>
    <mergeCell ref="B85:G85"/>
    <mergeCell ref="C86:G86"/>
    <mergeCell ref="C87:G87"/>
    <mergeCell ref="C88:G88"/>
    <mergeCell ref="C89:G89"/>
    <mergeCell ref="C90:G90"/>
    <mergeCell ref="C91:J91"/>
    <mergeCell ref="C75:G75"/>
    <mergeCell ref="C48:J48"/>
    <mergeCell ref="B49:H49"/>
    <mergeCell ref="C50:H50"/>
    <mergeCell ref="C54:J54"/>
    <mergeCell ref="C53:J53"/>
    <mergeCell ref="C51:H51"/>
    <mergeCell ref="C52:H52"/>
    <mergeCell ref="C123:J123"/>
    <mergeCell ref="C118:H118"/>
    <mergeCell ref="C119:H119"/>
    <mergeCell ref="C120:H120"/>
    <mergeCell ref="C121:J121"/>
    <mergeCell ref="C122:J122"/>
    <mergeCell ref="C104:J104"/>
    <mergeCell ref="C109:J109"/>
    <mergeCell ref="C114:J114"/>
    <mergeCell ref="C115:J115"/>
    <mergeCell ref="C116:J116"/>
    <mergeCell ref="B117:H117"/>
    <mergeCell ref="B105:H105"/>
    <mergeCell ref="C106:H106"/>
    <mergeCell ref="C107:H107"/>
    <mergeCell ref="C108:H108"/>
    <mergeCell ref="B110:H110"/>
    <mergeCell ref="C111:H111"/>
    <mergeCell ref="C112:H112"/>
    <mergeCell ref="C113:H113"/>
    <mergeCell ref="B103:J103"/>
    <mergeCell ref="K103:N103"/>
    <mergeCell ref="C78:G78"/>
    <mergeCell ref="Q78:U78"/>
    <mergeCell ref="C79:G79"/>
    <mergeCell ref="Q79:U79"/>
    <mergeCell ref="C80:G80"/>
    <mergeCell ref="Q80:U80"/>
    <mergeCell ref="B102:N102"/>
    <mergeCell ref="B93:J93"/>
    <mergeCell ref="K93:N93"/>
    <mergeCell ref="C99:J99"/>
    <mergeCell ref="C100:J100"/>
    <mergeCell ref="C101:J101"/>
    <mergeCell ref="C94:J94"/>
    <mergeCell ref="B95:H95"/>
    <mergeCell ref="C96:H96"/>
    <mergeCell ref="C97:H97"/>
    <mergeCell ref="C98:H98"/>
    <mergeCell ref="C81:G81"/>
    <mergeCell ref="Q81:U81"/>
    <mergeCell ref="C82:J82"/>
    <mergeCell ref="P82:V82"/>
    <mergeCell ref="P87:X87"/>
    <mergeCell ref="C65:G65"/>
    <mergeCell ref="B60:G60"/>
    <mergeCell ref="C61:G61"/>
    <mergeCell ref="C62:G62"/>
    <mergeCell ref="B59:J59"/>
    <mergeCell ref="K59:N59"/>
    <mergeCell ref="C63:G63"/>
    <mergeCell ref="Q69:U69"/>
    <mergeCell ref="Q70:U70"/>
    <mergeCell ref="C64:G64"/>
    <mergeCell ref="Q64:U64"/>
    <mergeCell ref="C66:G66"/>
    <mergeCell ref="Q66:U66"/>
    <mergeCell ref="C67:G67"/>
    <mergeCell ref="Q67:U67"/>
    <mergeCell ref="C68:G68"/>
    <mergeCell ref="Q68:U68"/>
    <mergeCell ref="Q65:U65"/>
    <mergeCell ref="P60:U60"/>
    <mergeCell ref="Q61:U61"/>
    <mergeCell ref="Q62:U62"/>
    <mergeCell ref="P59:X59"/>
    <mergeCell ref="Q63:U63"/>
    <mergeCell ref="W91:X91"/>
    <mergeCell ref="B83:J83"/>
    <mergeCell ref="K83:N83"/>
    <mergeCell ref="C69:G69"/>
    <mergeCell ref="C70:G70"/>
    <mergeCell ref="C71:G71"/>
    <mergeCell ref="C72:G72"/>
    <mergeCell ref="C73:G73"/>
    <mergeCell ref="C74:G74"/>
    <mergeCell ref="W88:X88"/>
    <mergeCell ref="W89:X89"/>
    <mergeCell ref="W90:X90"/>
    <mergeCell ref="Q72:U72"/>
    <mergeCell ref="Q73:U73"/>
    <mergeCell ref="Q74:U74"/>
    <mergeCell ref="C77:G77"/>
    <mergeCell ref="Q77:U77"/>
    <mergeCell ref="Q75:U75"/>
    <mergeCell ref="C76:G76"/>
    <mergeCell ref="Q76:U76"/>
    <mergeCell ref="Q71:U71"/>
  </mergeCells>
  <conditionalFormatting sqref="K6:K27 K31:K39 L38:N38 K43:K48 N48 K50:K55 L53:N55 K61:K82 K84 K86:K92 K94 K96:K101 K104 K106:K109 K111:K116 K118:K123">
    <cfRule type="cellIs" dxfId="4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4 A43:K45 A56:IV60 A54:J54 M27:W27 A26:J26 A27:J27 A6:G6 X26:IV26 A30:K30 A28:B28 K28 A29 O28:IV29 D38:J38 A40:IV41 L6:M6 A7:H7 J7:O7 Y33:IV33 A31:B33 D31:K31 A34 H32:J34 X6:IV9 A9:H9 L26:U26 Q7:U7 A62:V81 X61:IV81 A37 C37:J37 O32:IV32 O34:IV34 O33:V33 O37:IV37 A38:B39 O38:IV38 A50:K52 A48:J48 O48:IV48 A5:K5 N5:IV5 N30:IV30 O39:IV39 A42:K42 N42:IV42 A49:K49 N49:IV49 A55:J55 A53:J53 O53:IV55 D39:J39 Z27:IV27 A82:IV65498 A61:V61 A47:K47 A46:J46 N47:IV47 O6:V6 N31:IV31 N43:IV45 N50:IV52 O46:IV46 A8:H8 K8:O8 K9:O9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5"/>
  <dimension ref="A1:S60"/>
  <sheetViews>
    <sheetView zoomScale="115" zoomScaleNormal="115" workbookViewId="0">
      <selection activeCell="O28" sqref="O28"/>
    </sheetView>
  </sheetViews>
  <sheetFormatPr defaultColWidth="10.5703125" defaultRowHeight="15" customHeight="1" x14ac:dyDescent="0.25"/>
  <cols>
    <col min="1" max="2" width="3.7109375" style="76" customWidth="1"/>
    <col min="3" max="3" width="40.7109375" style="76" customWidth="1"/>
    <col min="4" max="4" width="10.7109375" style="103" customWidth="1"/>
    <col min="5" max="5" width="13.28515625" style="103" bestFit="1" customWidth="1"/>
    <col min="6" max="6" width="9.85546875" style="103" bestFit="1" customWidth="1"/>
    <col min="7" max="7" width="16.7109375" style="76" customWidth="1"/>
    <col min="8" max="9" width="3.7109375" style="76" customWidth="1"/>
    <col min="10" max="11" width="22.42578125" style="76" customWidth="1"/>
    <col min="12" max="12" width="9.85546875" style="76" customWidth="1"/>
    <col min="13" max="13" width="10.5703125" style="103" customWidth="1"/>
    <col min="14" max="14" width="16.7109375" style="76" customWidth="1"/>
    <col min="15" max="16" width="9.140625" style="76" customWidth="1"/>
    <col min="17" max="17" width="9.85546875" style="76" bestFit="1" customWidth="1"/>
    <col min="18" max="18" width="12.5703125" style="76" bestFit="1" customWidth="1"/>
    <col min="19" max="19" width="14.42578125" style="76" bestFit="1" customWidth="1"/>
    <col min="20" max="247" width="9.140625" style="76" customWidth="1"/>
    <col min="248" max="248" width="3.7109375" style="76" customWidth="1"/>
    <col min="249" max="249" width="29.7109375" style="76" customWidth="1"/>
    <col min="250" max="250" width="6.28515625" style="76" customWidth="1"/>
    <col min="251" max="251" width="9.28515625" style="76" bestFit="1" customWidth="1"/>
    <col min="252" max="252" width="16.7109375" style="76" customWidth="1"/>
    <col min="253" max="253" width="3.7109375" style="76" customWidth="1"/>
    <col min="254" max="254" width="29.7109375" style="76" customWidth="1"/>
    <col min="255" max="255" width="6.5703125" style="76" customWidth="1"/>
    <col min="256" max="16384" width="10.5703125" style="76"/>
  </cols>
  <sheetData>
    <row r="1" spans="1:19" ht="15" customHeight="1" x14ac:dyDescent="0.25">
      <c r="A1" s="52"/>
    </row>
    <row r="2" spans="1:19" ht="15" customHeight="1" x14ac:dyDescent="0.25">
      <c r="B2" s="779" t="s">
        <v>4011</v>
      </c>
      <c r="C2" s="779"/>
      <c r="D2" s="779"/>
      <c r="E2" s="779"/>
      <c r="F2" s="779"/>
      <c r="G2" s="779"/>
      <c r="I2" s="779" t="str">
        <f>B2</f>
        <v>AQUECIMENTO SOLAR DE ÁGUA - EX ANTE</v>
      </c>
      <c r="J2" s="779"/>
      <c r="K2" s="779"/>
      <c r="L2" s="779"/>
      <c r="M2" s="779"/>
      <c r="N2" s="779"/>
    </row>
    <row r="3" spans="1:19" ht="15" customHeight="1" x14ac:dyDescent="0.25">
      <c r="B3" s="779" t="s">
        <v>4511</v>
      </c>
      <c r="C3" s="779"/>
      <c r="D3" s="779"/>
      <c r="E3" s="779"/>
      <c r="F3" s="779"/>
      <c r="G3" s="779"/>
      <c r="I3" s="952" t="s">
        <v>4512</v>
      </c>
      <c r="J3" s="952"/>
      <c r="K3" s="952"/>
      <c r="L3" s="952"/>
      <c r="M3" s="952"/>
      <c r="N3" s="952"/>
      <c r="P3" s="464" t="s">
        <v>3822</v>
      </c>
      <c r="Q3" s="464" t="s">
        <v>4513</v>
      </c>
      <c r="R3" s="464" t="s">
        <v>3883</v>
      </c>
      <c r="S3" s="464" t="s">
        <v>3823</v>
      </c>
    </row>
    <row r="4" spans="1:19" ht="15" customHeight="1" x14ac:dyDescent="0.25">
      <c r="B4" s="230"/>
      <c r="C4" s="296" t="s">
        <v>4514</v>
      </c>
      <c r="D4" s="954"/>
      <c r="E4" s="954"/>
      <c r="F4" s="954"/>
      <c r="G4" s="955"/>
      <c r="I4" s="515">
        <v>1</v>
      </c>
      <c r="J4" s="950" t="s">
        <v>4515</v>
      </c>
      <c r="K4" s="950"/>
      <c r="L4" s="540"/>
      <c r="M4" s="297" t="s">
        <v>4516</v>
      </c>
      <c r="N4" s="8"/>
      <c r="P4" s="461"/>
      <c r="Q4" s="22"/>
      <c r="R4" s="467" t="str">
        <f>IFERROR(($G$24/Solar[[#Totals],[QTD]])*Solar[[#This Row],[QTD]],"")</f>
        <v/>
      </c>
      <c r="S4" s="467" t="str">
        <f>IFERROR(($G$22/Solar[[#Totals],[QTD]])*Solar[[#This Row],[QTD]],"")</f>
        <v/>
      </c>
    </row>
    <row r="5" spans="1:19" ht="15" customHeight="1" x14ac:dyDescent="0.25">
      <c r="B5" s="230"/>
      <c r="C5" s="299" t="s">
        <v>4517</v>
      </c>
      <c r="D5" s="954"/>
      <c r="E5" s="954"/>
      <c r="F5" s="954"/>
      <c r="G5" s="955"/>
      <c r="I5" s="515">
        <v>2</v>
      </c>
      <c r="J5" s="950" t="s">
        <v>4518</v>
      </c>
      <c r="K5" s="950"/>
      <c r="L5" s="540"/>
      <c r="M5" s="297" t="s">
        <v>4519</v>
      </c>
      <c r="N5" s="8"/>
      <c r="P5" s="461"/>
      <c r="Q5" s="22"/>
      <c r="R5" s="467" t="str">
        <f>IFERROR(($G$24/Solar[[#Totals],[QTD]])*Solar[[#This Row],[QTD]],"")</f>
        <v/>
      </c>
      <c r="S5" s="467" t="str">
        <f>IFERROR(($G$22/Solar[[#Totals],[QTD]])*Solar[[#This Row],[QTD]],"")</f>
        <v/>
      </c>
    </row>
    <row r="6" spans="1:19" ht="15" customHeight="1" x14ac:dyDescent="0.25">
      <c r="B6" s="230"/>
      <c r="C6" s="225" t="s">
        <v>4520</v>
      </c>
      <c r="D6" s="226"/>
      <c r="E6" s="231" t="s">
        <v>4521</v>
      </c>
      <c r="F6" s="300" t="s">
        <v>4522</v>
      </c>
      <c r="G6" s="11"/>
      <c r="I6" s="515">
        <v>3</v>
      </c>
      <c r="J6" s="950" t="s">
        <v>4523</v>
      </c>
      <c r="K6" s="950"/>
      <c r="L6" s="231" t="s">
        <v>4199</v>
      </c>
      <c r="M6" s="297" t="s">
        <v>4524</v>
      </c>
      <c r="N6" s="10"/>
      <c r="P6" s="461"/>
      <c r="Q6" s="22"/>
      <c r="R6" s="467" t="str">
        <f>IFERROR(($G$24/Solar[[#Totals],[QTD]])*Solar[[#This Row],[QTD]],"")</f>
        <v/>
      </c>
      <c r="S6" s="467" t="str">
        <f>IFERROR(($G$22/Solar[[#Totals],[QTD]])*Solar[[#This Row],[QTD]],"")</f>
        <v/>
      </c>
    </row>
    <row r="7" spans="1:19" ht="15" customHeight="1" x14ac:dyDescent="0.25">
      <c r="B7" s="230"/>
      <c r="C7" s="225" t="s">
        <v>4525</v>
      </c>
      <c r="D7" s="226"/>
      <c r="E7" s="231" t="s">
        <v>3948</v>
      </c>
      <c r="F7" s="300" t="s">
        <v>4526</v>
      </c>
      <c r="G7" s="11"/>
      <c r="I7" s="515">
        <v>4</v>
      </c>
      <c r="J7" s="950" t="s">
        <v>4527</v>
      </c>
      <c r="K7" s="950"/>
      <c r="L7" s="231" t="s">
        <v>4199</v>
      </c>
      <c r="M7" s="297" t="s">
        <v>4528</v>
      </c>
      <c r="N7" s="14"/>
      <c r="P7" s="461"/>
      <c r="Q7" s="22"/>
      <c r="R7" s="467" t="str">
        <f>IFERROR(($G$24/Solar[[#Totals],[QTD]])*Solar[[#This Row],[QTD]],"")</f>
        <v/>
      </c>
      <c r="S7" s="467" t="str">
        <f>IFERROR(($G$22/Solar[[#Totals],[QTD]])*Solar[[#This Row],[QTD]],"")</f>
        <v/>
      </c>
    </row>
    <row r="8" spans="1:19" ht="15" customHeight="1" x14ac:dyDescent="0.25">
      <c r="B8" s="230"/>
      <c r="C8" s="304" t="s">
        <v>4529</v>
      </c>
      <c r="D8" s="226"/>
      <c r="E8" s="231" t="s">
        <v>3912</v>
      </c>
      <c r="F8" s="300" t="s">
        <v>4530</v>
      </c>
      <c r="G8" s="12"/>
      <c r="I8" s="515">
        <v>5</v>
      </c>
      <c r="J8" s="950" t="s">
        <v>4224</v>
      </c>
      <c r="K8" s="950"/>
      <c r="L8" s="540"/>
      <c r="M8" s="297" t="s">
        <v>4531</v>
      </c>
      <c r="N8" s="306">
        <f>IF(OR(N16="",N17="",N18=""),0.1,((N16*N17)/(N18*180)))</f>
        <v>0.1</v>
      </c>
      <c r="P8" s="461"/>
      <c r="Q8" s="22"/>
      <c r="R8" s="467" t="str">
        <f>IFERROR(($G$24/Solar[[#Totals],[QTD]])*Solar[[#This Row],[QTD]],"")</f>
        <v/>
      </c>
      <c r="S8" s="467" t="str">
        <f>IFERROR(($G$22/Solar[[#Totals],[QTD]])*Solar[[#This Row],[QTD]],"")</f>
        <v/>
      </c>
    </row>
    <row r="9" spans="1:19" ht="15" customHeight="1" x14ac:dyDescent="0.25">
      <c r="B9" s="230"/>
      <c r="C9" s="307" t="s">
        <v>4532</v>
      </c>
      <c r="D9" s="307"/>
      <c r="E9" s="308" t="s">
        <v>4533</v>
      </c>
      <c r="F9" s="300" t="s">
        <v>4534</v>
      </c>
      <c r="G9" s="309">
        <f>IF(G6=0,0,G7/G6)</f>
        <v>0</v>
      </c>
      <c r="I9" s="515">
        <v>6</v>
      </c>
      <c r="J9" s="950" t="s">
        <v>4535</v>
      </c>
      <c r="K9" s="950"/>
      <c r="L9" s="540"/>
      <c r="M9" s="556" t="s">
        <v>4536</v>
      </c>
      <c r="N9" s="306">
        <v>0.6</v>
      </c>
      <c r="P9" s="461"/>
      <c r="Q9" s="22"/>
      <c r="R9" s="467" t="str">
        <f>IFERROR(($G$24/Solar[[#Totals],[QTD]])*Solar[[#This Row],[QTD]],"")</f>
        <v/>
      </c>
      <c r="S9" s="467" t="str">
        <f>IFERROR(($G$22/Solar[[#Totals],[QTD]])*Solar[[#This Row],[QTD]],"")</f>
        <v/>
      </c>
    </row>
    <row r="10" spans="1:19" ht="15" customHeight="1" x14ac:dyDescent="0.25">
      <c r="B10" s="230"/>
      <c r="C10" s="304" t="s">
        <v>4537</v>
      </c>
      <c r="D10" s="226"/>
      <c r="E10" s="231" t="s">
        <v>4521</v>
      </c>
      <c r="F10" s="300" t="s">
        <v>4538</v>
      </c>
      <c r="G10" s="309">
        <f>IF(OR(N14="",G9="",N4=""),0,(G24*1000)/(12*N14*G9*N4))</f>
        <v>0</v>
      </c>
      <c r="I10" s="515">
        <v>7</v>
      </c>
      <c r="J10" s="950" t="s">
        <v>4539</v>
      </c>
      <c r="K10" s="950"/>
      <c r="L10" s="540"/>
      <c r="M10" s="297" t="s">
        <v>4540</v>
      </c>
      <c r="N10" s="8"/>
      <c r="P10" s="461"/>
      <c r="Q10" s="22"/>
      <c r="R10" s="467" t="str">
        <f>IFERROR(($G$24/Solar[[#Totals],[QTD]])*Solar[[#This Row],[QTD]],"")</f>
        <v/>
      </c>
      <c r="S10" s="467" t="str">
        <f>IFERROR(($G$22/Solar[[#Totals],[QTD]])*Solar[[#This Row],[QTD]],"")</f>
        <v/>
      </c>
    </row>
    <row r="11" spans="1:19" ht="15" customHeight="1" x14ac:dyDescent="0.25">
      <c r="B11" s="230"/>
      <c r="C11" s="225" t="s">
        <v>4541</v>
      </c>
      <c r="D11" s="310"/>
      <c r="E11" s="311"/>
      <c r="F11" s="300" t="s">
        <v>4542</v>
      </c>
      <c r="G11" s="312">
        <f>IF(OR(G6=0,G10=0,G10=""),0,IF(INT((G10/G6-0.09)-0.5)=0,1,INT((G10/G6-0.09))))</f>
        <v>0</v>
      </c>
      <c r="I11" s="515">
        <v>8</v>
      </c>
      <c r="J11" s="950" t="s">
        <v>4543</v>
      </c>
      <c r="K11" s="950"/>
      <c r="L11" s="231" t="s">
        <v>4544</v>
      </c>
      <c r="M11" s="297" t="s">
        <v>4545</v>
      </c>
      <c r="N11" s="8"/>
      <c r="P11" s="461"/>
      <c r="Q11" s="22"/>
      <c r="R11" s="467" t="str">
        <f>IFERROR(($G$24/Solar[[#Totals],[QTD]])*Solar[[#This Row],[QTD]],"")</f>
        <v/>
      </c>
      <c r="S11" s="467" t="str">
        <f>IFERROR(($G$22/Solar[[#Totals],[QTD]])*Solar[[#This Row],[QTD]],"")</f>
        <v/>
      </c>
    </row>
    <row r="12" spans="1:19" ht="15" customHeight="1" x14ac:dyDescent="0.25">
      <c r="B12" s="952" t="s">
        <v>4546</v>
      </c>
      <c r="C12" s="952"/>
      <c r="D12" s="952"/>
      <c r="E12" s="952"/>
      <c r="F12" s="952"/>
      <c r="G12" s="952"/>
      <c r="I12" s="515"/>
      <c r="J12" s="950" t="s">
        <v>4547</v>
      </c>
      <c r="K12" s="950"/>
      <c r="L12" s="231" t="s">
        <v>4548</v>
      </c>
      <c r="M12" s="297" t="s">
        <v>4549</v>
      </c>
      <c r="N12" s="8"/>
      <c r="P12" s="461"/>
      <c r="Q12" s="22"/>
      <c r="R12" s="467" t="str">
        <f>IFERROR(($G$24/Solar[[#Totals],[QTD]])*Solar[[#This Row],[QTD]],"")</f>
        <v/>
      </c>
      <c r="S12" s="467" t="str">
        <f>IFERROR(($G$22/Solar[[#Totals],[QTD]])*Solar[[#This Row],[QTD]],"")</f>
        <v/>
      </c>
    </row>
    <row r="13" spans="1:19" ht="15" customHeight="1" x14ac:dyDescent="0.25">
      <c r="B13" s="230"/>
      <c r="C13" s="299" t="s">
        <v>4550</v>
      </c>
      <c r="D13" s="953"/>
      <c r="E13" s="954"/>
      <c r="F13" s="954"/>
      <c r="G13" s="955"/>
      <c r="I13" s="515"/>
      <c r="J13" s="950" t="s">
        <v>4551</v>
      </c>
      <c r="K13" s="950"/>
      <c r="L13" s="540"/>
      <c r="M13" s="956"/>
      <c r="N13" s="957"/>
      <c r="O13" s="27"/>
      <c r="P13" s="461"/>
      <c r="Q13" s="22"/>
      <c r="R13" s="467" t="str">
        <f>IFERROR(($G$24/Solar[[#Totals],[QTD]])*Solar[[#This Row],[QTD]],"")</f>
        <v/>
      </c>
      <c r="S13" s="467" t="str">
        <f>IFERROR(($G$22/Solar[[#Totals],[QTD]])*Solar[[#This Row],[QTD]],"")</f>
        <v/>
      </c>
    </row>
    <row r="14" spans="1:19" ht="15" customHeight="1" x14ac:dyDescent="0.25">
      <c r="B14" s="230"/>
      <c r="C14" s="299" t="s">
        <v>4552</v>
      </c>
      <c r="D14" s="953"/>
      <c r="E14" s="954"/>
      <c r="F14" s="954"/>
      <c r="G14" s="955"/>
      <c r="I14" s="515"/>
      <c r="J14" s="950" t="s">
        <v>19</v>
      </c>
      <c r="K14" s="950"/>
      <c r="L14" s="540"/>
      <c r="M14" s="297" t="s">
        <v>3802</v>
      </c>
      <c r="N14" s="38"/>
      <c r="P14" s="461"/>
      <c r="Q14" s="22"/>
      <c r="R14" s="467" t="str">
        <f>IFERROR(($G$24/Solar[[#Totals],[QTD]])*Solar[[#This Row],[QTD]],"")</f>
        <v/>
      </c>
      <c r="S14" s="467" t="str">
        <f>IFERROR(($G$22/Solar[[#Totals],[QTD]])*Solar[[#This Row],[QTD]],"")</f>
        <v/>
      </c>
    </row>
    <row r="15" spans="1:19" ht="15" customHeight="1" x14ac:dyDescent="0.25">
      <c r="B15" s="230"/>
      <c r="C15" s="225" t="s">
        <v>4553</v>
      </c>
      <c r="D15" s="226"/>
      <c r="E15" s="231" t="s">
        <v>4554</v>
      </c>
      <c r="F15" s="297" t="s">
        <v>4555</v>
      </c>
      <c r="G15" s="14"/>
      <c r="I15" s="952" t="s">
        <v>4556</v>
      </c>
      <c r="J15" s="952"/>
      <c r="K15" s="952"/>
      <c r="L15" s="952"/>
      <c r="M15" s="952"/>
      <c r="N15" s="952"/>
      <c r="P15" s="461"/>
      <c r="Q15" s="22"/>
      <c r="R15" s="467" t="str">
        <f>IFERROR(($G$24/Solar[[#Totals],[QTD]])*Solar[[#This Row],[QTD]],"")</f>
        <v/>
      </c>
      <c r="S15" s="467" t="str">
        <f>IFERROR(($G$22/Solar[[#Totals],[QTD]])*Solar[[#This Row],[QTD]],"")</f>
        <v/>
      </c>
    </row>
    <row r="16" spans="1:19" ht="15" customHeight="1" x14ac:dyDescent="0.25">
      <c r="B16" s="230"/>
      <c r="C16" s="304" t="s">
        <v>4557</v>
      </c>
      <c r="D16" s="226"/>
      <c r="E16" s="231" t="s">
        <v>4558</v>
      </c>
      <c r="F16" s="297" t="s">
        <v>4559</v>
      </c>
      <c r="G16" s="11"/>
      <c r="I16" s="515"/>
      <c r="J16" s="945" t="s">
        <v>4560</v>
      </c>
      <c r="K16" s="945"/>
      <c r="L16" s="314"/>
      <c r="M16" s="315" t="s">
        <v>4561</v>
      </c>
      <c r="N16" s="13"/>
      <c r="P16" s="461"/>
      <c r="Q16" s="22"/>
      <c r="R16" s="467" t="str">
        <f>IFERROR(($G$24/Solar[[#Totals],[QTD]])*Solar[[#This Row],[QTD]],"")</f>
        <v/>
      </c>
      <c r="S16" s="467" t="str">
        <f>IFERROR(($G$22/Solar[[#Totals],[QTD]])*Solar[[#This Row],[QTD]],"")</f>
        <v/>
      </c>
    </row>
    <row r="17" spans="2:19" ht="15" customHeight="1" x14ac:dyDescent="0.25">
      <c r="B17" s="230"/>
      <c r="C17" s="225" t="s">
        <v>4562</v>
      </c>
      <c r="D17" s="317"/>
      <c r="E17" s="308" t="s">
        <v>4554</v>
      </c>
      <c r="F17" s="297" t="s">
        <v>4563</v>
      </c>
      <c r="G17" s="309">
        <f>N10*N12*N11</f>
        <v>0</v>
      </c>
      <c r="I17" s="515"/>
      <c r="J17" s="945" t="s">
        <v>4543</v>
      </c>
      <c r="K17" s="945"/>
      <c r="L17" s="318" t="s">
        <v>4544</v>
      </c>
      <c r="M17" s="315" t="s">
        <v>4564</v>
      </c>
      <c r="N17" s="7"/>
      <c r="P17" s="461"/>
      <c r="Q17" s="22"/>
      <c r="R17" s="467" t="str">
        <f>IFERROR(($G$24/Solar[[#Totals],[QTD]])*Solar[[#This Row],[QTD]],"")</f>
        <v/>
      </c>
      <c r="S17" s="467" t="str">
        <f>IFERROR(($G$22/Solar[[#Totals],[QTD]])*Solar[[#This Row],[QTD]],"")</f>
        <v/>
      </c>
    </row>
    <row r="18" spans="2:19" ht="15" customHeight="1" x14ac:dyDescent="0.25">
      <c r="B18" s="230"/>
      <c r="C18" s="225" t="s">
        <v>4565</v>
      </c>
      <c r="D18" s="320"/>
      <c r="E18" s="321"/>
      <c r="F18" s="297" t="s">
        <v>4566</v>
      </c>
      <c r="G18" s="322">
        <f>IF(OR(G15="",G15=0),0,IF((INT(((N12*N11*N10/G15)-0.05)))=0,1,INT(((N12*N11*N10/G15)))))</f>
        <v>0</v>
      </c>
      <c r="I18" s="515"/>
      <c r="J18" s="945" t="s">
        <v>4567</v>
      </c>
      <c r="K18" s="945"/>
      <c r="L18" s="314"/>
      <c r="M18" s="315" t="s">
        <v>4568</v>
      </c>
      <c r="N18" s="9"/>
      <c r="P18" s="461"/>
      <c r="Q18" s="22"/>
      <c r="R18" s="467" t="str">
        <f>IFERROR(($G$24/Solar[[#Totals],[QTD]])*Solar[[#This Row],[QTD]],"")</f>
        <v/>
      </c>
      <c r="S18" s="467" t="str">
        <f>IFERROR(($G$22/Solar[[#Totals],[QTD]])*Solar[[#This Row],[QTD]],"")</f>
        <v/>
      </c>
    </row>
    <row r="19" spans="2:19" ht="15" customHeight="1" x14ac:dyDescent="0.25">
      <c r="D19" s="76"/>
      <c r="E19" s="76"/>
      <c r="F19" s="76"/>
      <c r="P19" s="461"/>
      <c r="Q19" s="22"/>
      <c r="R19" s="467" t="str">
        <f>IFERROR(($G$24/Solar[[#Totals],[QTD]])*Solar[[#This Row],[QTD]],"")</f>
        <v/>
      </c>
      <c r="S19" s="467" t="str">
        <f>IFERROR(($G$22/Solar[[#Totals],[QTD]])*Solar[[#This Row],[QTD]],"")</f>
        <v/>
      </c>
    </row>
    <row r="20" spans="2:19" ht="15" customHeight="1" x14ac:dyDescent="0.25">
      <c r="B20" s="649" t="s">
        <v>4569</v>
      </c>
      <c r="C20" s="650"/>
      <c r="D20" s="650"/>
      <c r="E20" s="650"/>
      <c r="F20" s="650"/>
      <c r="G20" s="651"/>
      <c r="I20" s="946" t="s">
        <v>4570</v>
      </c>
      <c r="J20" s="947"/>
      <c r="K20" s="946" t="s">
        <v>4571</v>
      </c>
      <c r="L20" s="947"/>
      <c r="P20" s="461"/>
      <c r="Q20" s="22"/>
      <c r="R20" s="467" t="str">
        <f>IFERROR(($G$24/Solar[[#Totals],[QTD]])*Solar[[#This Row],[QTD]],"")</f>
        <v/>
      </c>
      <c r="S20" s="467" t="str">
        <f>IFERROR(($G$22/Solar[[#Totals],[QTD]])*Solar[[#This Row],[QTD]],"")</f>
        <v/>
      </c>
    </row>
    <row r="21" spans="2:19" ht="15" customHeight="1" x14ac:dyDescent="0.25">
      <c r="B21" s="515"/>
      <c r="C21" s="247"/>
      <c r="D21" s="247"/>
      <c r="E21" s="247"/>
      <c r="F21" s="245"/>
      <c r="G21" s="223" t="s">
        <v>76</v>
      </c>
      <c r="I21" s="948" t="s">
        <v>4572</v>
      </c>
      <c r="J21" s="949"/>
      <c r="K21" s="948" t="s">
        <v>4573</v>
      </c>
      <c r="L21" s="949"/>
      <c r="P21" s="461"/>
      <c r="Q21" s="22"/>
      <c r="R21" s="467" t="str">
        <f>IFERROR(($G$24/Solar[[#Totals],[QTD]])*Solar[[#This Row],[QTD]],"")</f>
        <v/>
      </c>
      <c r="S21" s="467" t="str">
        <f>IFERROR(($G$22/Solar[[#Totals],[QTD]])*Solar[[#This Row],[QTD]],"")</f>
        <v/>
      </c>
    </row>
    <row r="22" spans="2:19" ht="15" customHeight="1" x14ac:dyDescent="0.25">
      <c r="B22" s="899">
        <v>9</v>
      </c>
      <c r="C22" s="248" t="s">
        <v>3901</v>
      </c>
      <c r="D22" s="324"/>
      <c r="E22" s="943" t="s">
        <v>3857</v>
      </c>
      <c r="F22" s="941" t="s">
        <v>3875</v>
      </c>
      <c r="G22" s="939">
        <f>(N4*N5*N8*(N6-N7))/1000</f>
        <v>0</v>
      </c>
      <c r="I22" s="935">
        <v>100</v>
      </c>
      <c r="J22" s="935"/>
      <c r="K22" s="935" t="s">
        <v>4574</v>
      </c>
      <c r="L22" s="935"/>
      <c r="P22" s="461"/>
      <c r="Q22" s="22"/>
      <c r="R22" s="467" t="str">
        <f>IFERROR(($G$24/Solar[[#Totals],[QTD]])*Solar[[#This Row],[QTD]],"")</f>
        <v/>
      </c>
      <c r="S22" s="467" t="str">
        <f>IFERROR(($G$22/Solar[[#Totals],[QTD]])*Solar[[#This Row],[QTD]],"")</f>
        <v/>
      </c>
    </row>
    <row r="23" spans="2:19" ht="15" customHeight="1" x14ac:dyDescent="0.25">
      <c r="B23" s="901"/>
      <c r="C23" s="249" t="s">
        <v>4244</v>
      </c>
      <c r="D23" s="250">
        <f>'Escolha tarifa'!F17</f>
        <v>0</v>
      </c>
      <c r="E23" s="944"/>
      <c r="F23" s="942"/>
      <c r="G23" s="940"/>
      <c r="I23" s="935">
        <v>150</v>
      </c>
      <c r="J23" s="935"/>
      <c r="K23" s="935" t="s">
        <v>4575</v>
      </c>
      <c r="L23" s="935"/>
      <c r="P23" s="461"/>
      <c r="Q23" s="22"/>
      <c r="R23" s="467" t="str">
        <f>IFERROR(($G$24/Solar[[#Totals],[QTD]])*Solar[[#This Row],[QTD]],"")</f>
        <v/>
      </c>
      <c r="S23" s="468" t="str">
        <f>IFERROR(($G$22/Solar[[#Totals],[QTD]])*Solar[[#This Row],[QTD]],"")</f>
        <v/>
      </c>
    </row>
    <row r="24" spans="2:19" ht="15" customHeight="1" x14ac:dyDescent="0.25">
      <c r="B24" s="899">
        <v>10</v>
      </c>
      <c r="C24" s="248" t="s">
        <v>3900</v>
      </c>
      <c r="D24" s="324"/>
      <c r="E24" s="943" t="s">
        <v>3854</v>
      </c>
      <c r="F24" s="941" t="s">
        <v>3874</v>
      </c>
      <c r="G24" s="937">
        <f>(N6*N4*N10*N11*N9*365)/(60*1000000)</f>
        <v>0</v>
      </c>
      <c r="I24" s="935">
        <v>200</v>
      </c>
      <c r="J24" s="935"/>
      <c r="K24" s="935" t="s">
        <v>4576</v>
      </c>
      <c r="L24" s="935"/>
      <c r="P24" s="465" t="s">
        <v>3794</v>
      </c>
      <c r="Q24" s="466">
        <f>SUBTOTAL(109,Solar[QTD])</f>
        <v>0</v>
      </c>
      <c r="R24" s="469">
        <f>SUBTOTAL(109,Solar[Energia])</f>
        <v>0</v>
      </c>
      <c r="S24" s="469">
        <f>SUBTOTAL(109,Solar[Demanda])</f>
        <v>0</v>
      </c>
    </row>
    <row r="25" spans="2:19" ht="15" customHeight="1" x14ac:dyDescent="0.25">
      <c r="B25" s="901"/>
      <c r="C25" s="249" t="s">
        <v>4247</v>
      </c>
      <c r="D25" s="250">
        <f>'Escolha tarifa'!E17</f>
        <v>0</v>
      </c>
      <c r="E25" s="944"/>
      <c r="F25" s="942"/>
      <c r="G25" s="938"/>
      <c r="I25" s="935">
        <v>300</v>
      </c>
      <c r="J25" s="935"/>
      <c r="K25" s="935" t="s">
        <v>4577</v>
      </c>
      <c r="L25" s="935"/>
    </row>
    <row r="26" spans="2:19" ht="15" customHeight="1" x14ac:dyDescent="0.25">
      <c r="B26" s="253"/>
      <c r="C26" s="254" t="s">
        <v>4578</v>
      </c>
      <c r="D26" s="541"/>
      <c r="E26" s="542" t="s">
        <v>3911</v>
      </c>
      <c r="F26" s="255" t="s">
        <v>4579</v>
      </c>
      <c r="G26" s="256">
        <f>G22*D23+G24*D25</f>
        <v>0</v>
      </c>
      <c r="I26" s="935">
        <v>400</v>
      </c>
      <c r="J26" s="935"/>
      <c r="K26" s="935" t="s">
        <v>4580</v>
      </c>
      <c r="L26" s="935"/>
      <c r="Q26" s="951" t="s">
        <v>4581</v>
      </c>
      <c r="R26" s="951"/>
    </row>
    <row r="27" spans="2:19" ht="15" customHeight="1" x14ac:dyDescent="0.25">
      <c r="B27" s="253"/>
      <c r="C27" s="254" t="s">
        <v>4582</v>
      </c>
      <c r="D27" s="541"/>
      <c r="E27" s="542" t="s">
        <v>3911</v>
      </c>
      <c r="F27" s="255" t="s">
        <v>4583</v>
      </c>
      <c r="G27" s="256">
        <f>G24*D25</f>
        <v>0</v>
      </c>
      <c r="I27" s="103"/>
      <c r="J27" s="103"/>
      <c r="K27" s="103"/>
      <c r="L27" s="103"/>
    </row>
    <row r="28" spans="2:19" ht="15" customHeight="1" x14ac:dyDescent="0.25">
      <c r="B28" s="253"/>
      <c r="C28" s="254" t="s">
        <v>4584</v>
      </c>
      <c r="D28" s="541"/>
      <c r="E28" s="542" t="s">
        <v>3911</v>
      </c>
      <c r="F28" s="255" t="s">
        <v>4585</v>
      </c>
      <c r="G28" s="256">
        <f>G22*D23</f>
        <v>0</v>
      </c>
      <c r="I28" s="103"/>
      <c r="J28" s="103"/>
      <c r="K28" s="103"/>
      <c r="L28" s="103"/>
    </row>
    <row r="29" spans="2:19" ht="15" customHeight="1" x14ac:dyDescent="0.25">
      <c r="B29" s="103"/>
      <c r="D29" s="76"/>
      <c r="E29" s="76"/>
      <c r="F29" s="219"/>
      <c r="G29" s="220"/>
      <c r="M29" s="76"/>
    </row>
    <row r="30" spans="2:19" ht="15" customHeight="1" x14ac:dyDescent="0.35">
      <c r="B30" s="103"/>
      <c r="D30" s="76"/>
      <c r="E30" s="189" t="s">
        <v>4492</v>
      </c>
      <c r="F30" s="190"/>
      <c r="G30" s="191">
        <f>RCB!$G$11</f>
        <v>0</v>
      </c>
      <c r="I30" s="189" t="s">
        <v>4493</v>
      </c>
      <c r="J30" s="190"/>
      <c r="K30" s="191">
        <f>RCB!$J$11</f>
        <v>0</v>
      </c>
      <c r="M30" s="76"/>
    </row>
    <row r="31" spans="2:19" ht="15" customHeight="1" x14ac:dyDescent="0.35">
      <c r="B31" s="103"/>
      <c r="D31" s="76"/>
      <c r="E31" s="189" t="s">
        <v>4074</v>
      </c>
      <c r="F31" s="190"/>
      <c r="G31" s="191">
        <f>RCB!$H$7</f>
        <v>0</v>
      </c>
      <c r="I31" s="189" t="s">
        <v>4075</v>
      </c>
      <c r="J31" s="190"/>
      <c r="K31" s="191">
        <f>RCB!$K$7</f>
        <v>0</v>
      </c>
      <c r="M31" s="76"/>
    </row>
    <row r="33" spans="2:14" ht="15" hidden="1" customHeight="1" x14ac:dyDescent="0.25">
      <c r="B33" s="826" t="s">
        <v>4034</v>
      </c>
      <c r="C33" s="826"/>
      <c r="D33" s="826"/>
      <c r="E33" s="826"/>
      <c r="F33" s="826"/>
      <c r="G33" s="826"/>
      <c r="I33" s="826" t="str">
        <f>B33</f>
        <v>AQUECIMENTO SOLAR DE ÁGUA - EX POST</v>
      </c>
      <c r="J33" s="826"/>
      <c r="K33" s="826"/>
      <c r="L33" s="826"/>
      <c r="M33" s="826"/>
      <c r="N33" s="826"/>
    </row>
    <row r="34" spans="2:14" ht="15" hidden="1" customHeight="1" x14ac:dyDescent="0.25">
      <c r="B34" s="826" t="s">
        <v>4586</v>
      </c>
      <c r="C34" s="826"/>
      <c r="D34" s="826"/>
      <c r="E34" s="826"/>
      <c r="F34" s="826"/>
      <c r="G34" s="826"/>
      <c r="I34" s="930" t="s">
        <v>4587</v>
      </c>
      <c r="J34" s="930"/>
      <c r="K34" s="930"/>
      <c r="L34" s="930"/>
      <c r="M34" s="930"/>
      <c r="N34" s="930"/>
    </row>
    <row r="35" spans="2:14" ht="15" hidden="1" customHeight="1" x14ac:dyDescent="0.25">
      <c r="B35" s="325"/>
      <c r="C35" s="326" t="s">
        <v>4514</v>
      </c>
      <c r="D35" s="932"/>
      <c r="E35" s="932"/>
      <c r="F35" s="932"/>
      <c r="G35" s="933"/>
      <c r="I35" s="259">
        <v>11</v>
      </c>
      <c r="J35" s="934" t="s">
        <v>4515</v>
      </c>
      <c r="K35" s="934"/>
      <c r="L35" s="538"/>
      <c r="M35" s="327" t="s">
        <v>4516</v>
      </c>
      <c r="N35" s="298"/>
    </row>
    <row r="36" spans="2:14" ht="15" hidden="1" customHeight="1" x14ac:dyDescent="0.25">
      <c r="B36" s="325"/>
      <c r="C36" s="328" t="s">
        <v>4517</v>
      </c>
      <c r="D36" s="932"/>
      <c r="E36" s="932"/>
      <c r="F36" s="932"/>
      <c r="G36" s="933"/>
      <c r="I36" s="259">
        <v>12</v>
      </c>
      <c r="J36" s="934" t="s">
        <v>4518</v>
      </c>
      <c r="K36" s="934"/>
      <c r="L36" s="538"/>
      <c r="M36" s="327" t="s">
        <v>4519</v>
      </c>
      <c r="N36" s="298"/>
    </row>
    <row r="37" spans="2:14" ht="15" hidden="1" customHeight="1" x14ac:dyDescent="0.25">
      <c r="B37" s="325"/>
      <c r="C37" s="264" t="s">
        <v>4520</v>
      </c>
      <c r="D37" s="265"/>
      <c r="E37" s="273" t="s">
        <v>4521</v>
      </c>
      <c r="F37" s="329" t="s">
        <v>4522</v>
      </c>
      <c r="G37" s="301"/>
      <c r="I37" s="259">
        <v>13</v>
      </c>
      <c r="J37" s="934" t="s">
        <v>4523</v>
      </c>
      <c r="K37" s="934"/>
      <c r="L37" s="273" t="s">
        <v>4199</v>
      </c>
      <c r="M37" s="327" t="s">
        <v>4524</v>
      </c>
      <c r="N37" s="302"/>
    </row>
    <row r="38" spans="2:14" ht="15" hidden="1" customHeight="1" x14ac:dyDescent="0.25">
      <c r="B38" s="325"/>
      <c r="C38" s="264" t="s">
        <v>4525</v>
      </c>
      <c r="D38" s="265"/>
      <c r="E38" s="273" t="s">
        <v>3948</v>
      </c>
      <c r="F38" s="329" t="s">
        <v>4526</v>
      </c>
      <c r="G38" s="301"/>
      <c r="I38" s="259">
        <v>14</v>
      </c>
      <c r="J38" s="934" t="s">
        <v>4527</v>
      </c>
      <c r="K38" s="934"/>
      <c r="L38" s="273" t="s">
        <v>4199</v>
      </c>
      <c r="M38" s="327" t="s">
        <v>4528</v>
      </c>
      <c r="N38" s="303"/>
    </row>
    <row r="39" spans="2:14" ht="15" hidden="1" customHeight="1" x14ac:dyDescent="0.25">
      <c r="B39" s="325"/>
      <c r="C39" s="330" t="s">
        <v>4529</v>
      </c>
      <c r="D39" s="265"/>
      <c r="E39" s="273" t="s">
        <v>3912</v>
      </c>
      <c r="F39" s="329" t="s">
        <v>4530</v>
      </c>
      <c r="G39" s="305"/>
      <c r="I39" s="259">
        <v>15</v>
      </c>
      <c r="J39" s="934" t="s">
        <v>4224</v>
      </c>
      <c r="K39" s="934"/>
      <c r="L39" s="538"/>
      <c r="M39" s="327" t="s">
        <v>4531</v>
      </c>
      <c r="N39" s="331">
        <f>IF(OR(N47="",N48="",N49=""),0.1,((N47*N48)/(N49*180)))</f>
        <v>0.1</v>
      </c>
    </row>
    <row r="40" spans="2:14" ht="15" hidden="1" customHeight="1" x14ac:dyDescent="0.25">
      <c r="B40" s="325"/>
      <c r="C40" s="332" t="s">
        <v>4532</v>
      </c>
      <c r="D40" s="333"/>
      <c r="E40" s="334" t="s">
        <v>4533</v>
      </c>
      <c r="F40" s="329" t="s">
        <v>4534</v>
      </c>
      <c r="G40" s="335">
        <f>IF(G37=0,0,G38/G37)</f>
        <v>0</v>
      </c>
      <c r="I40" s="259">
        <v>16</v>
      </c>
      <c r="J40" s="934" t="s">
        <v>4535</v>
      </c>
      <c r="K40" s="934"/>
      <c r="L40" s="538"/>
      <c r="M40" s="336" t="s">
        <v>4536</v>
      </c>
      <c r="N40" s="331">
        <v>0.6</v>
      </c>
    </row>
    <row r="41" spans="2:14" ht="15" hidden="1" customHeight="1" x14ac:dyDescent="0.25">
      <c r="B41" s="325"/>
      <c r="C41" s="330" t="s">
        <v>4537</v>
      </c>
      <c r="D41" s="265"/>
      <c r="E41" s="273" t="s">
        <v>4521</v>
      </c>
      <c r="F41" s="329" t="s">
        <v>4538</v>
      </c>
      <c r="G41" s="335">
        <f>IF(OR(N45="",G40="",N35=""),0,(G55*1000)/(12*N45*G40*N35))</f>
        <v>0</v>
      </c>
      <c r="I41" s="259">
        <v>17</v>
      </c>
      <c r="J41" s="934" t="s">
        <v>4539</v>
      </c>
      <c r="K41" s="934"/>
      <c r="L41" s="538"/>
      <c r="M41" s="327" t="s">
        <v>4540</v>
      </c>
      <c r="N41" s="298"/>
    </row>
    <row r="42" spans="2:14" ht="15" hidden="1" customHeight="1" x14ac:dyDescent="0.25">
      <c r="B42" s="325"/>
      <c r="C42" s="264" t="s">
        <v>4541</v>
      </c>
      <c r="D42" s="337"/>
      <c r="E42" s="338"/>
      <c r="F42" s="329" t="s">
        <v>4542</v>
      </c>
      <c r="G42" s="339">
        <f>IF(OR(G37=0,G41=0,G41=""),0,IF(INT((G41/G37-0.09)-0.5)=0,1,INT((G41/G37-0.09))))</f>
        <v>0</v>
      </c>
      <c r="I42" s="259">
        <v>18</v>
      </c>
      <c r="J42" s="934" t="s">
        <v>4543</v>
      </c>
      <c r="K42" s="934"/>
      <c r="L42" s="273" t="s">
        <v>4544</v>
      </c>
      <c r="M42" s="327" t="s">
        <v>4545</v>
      </c>
      <c r="N42" s="298"/>
    </row>
    <row r="43" spans="2:14" ht="15" hidden="1" customHeight="1" x14ac:dyDescent="0.25">
      <c r="B43" s="930" t="s">
        <v>4588</v>
      </c>
      <c r="C43" s="930"/>
      <c r="D43" s="930"/>
      <c r="E43" s="930"/>
      <c r="F43" s="930"/>
      <c r="G43" s="930"/>
      <c r="I43" s="259"/>
      <c r="J43" s="934" t="s">
        <v>4547</v>
      </c>
      <c r="K43" s="934"/>
      <c r="L43" s="273" t="s">
        <v>4548</v>
      </c>
      <c r="M43" s="327" t="s">
        <v>4549</v>
      </c>
      <c r="N43" s="298"/>
    </row>
    <row r="44" spans="2:14" ht="15" hidden="1" customHeight="1" x14ac:dyDescent="0.25">
      <c r="B44" s="325"/>
      <c r="C44" s="328" t="s">
        <v>4550</v>
      </c>
      <c r="D44" s="936"/>
      <c r="E44" s="932"/>
      <c r="F44" s="932"/>
      <c r="G44" s="933"/>
      <c r="I44" s="259"/>
      <c r="J44" s="934" t="s">
        <v>4551</v>
      </c>
      <c r="K44" s="934"/>
      <c r="L44" s="538"/>
      <c r="M44" s="928"/>
      <c r="N44" s="929"/>
    </row>
    <row r="45" spans="2:14" ht="15" hidden="1" customHeight="1" x14ac:dyDescent="0.25">
      <c r="B45" s="325"/>
      <c r="C45" s="328" t="s">
        <v>4552</v>
      </c>
      <c r="D45" s="936"/>
      <c r="E45" s="932"/>
      <c r="F45" s="932"/>
      <c r="G45" s="933"/>
      <c r="I45" s="259"/>
      <c r="J45" s="934" t="s">
        <v>19</v>
      </c>
      <c r="K45" s="934"/>
      <c r="L45" s="538"/>
      <c r="M45" s="327" t="s">
        <v>3802</v>
      </c>
      <c r="N45" s="313"/>
    </row>
    <row r="46" spans="2:14" ht="15" hidden="1" customHeight="1" x14ac:dyDescent="0.25">
      <c r="B46" s="325"/>
      <c r="C46" s="264" t="s">
        <v>4553</v>
      </c>
      <c r="D46" s="265"/>
      <c r="E46" s="273" t="s">
        <v>4554</v>
      </c>
      <c r="F46" s="327" t="s">
        <v>4555</v>
      </c>
      <c r="G46" s="303"/>
      <c r="I46" s="930" t="s">
        <v>4589</v>
      </c>
      <c r="J46" s="930"/>
      <c r="K46" s="930"/>
      <c r="L46" s="930"/>
      <c r="M46" s="930"/>
      <c r="N46" s="930"/>
    </row>
    <row r="47" spans="2:14" ht="15" hidden="1" customHeight="1" x14ac:dyDescent="0.25">
      <c r="B47" s="325"/>
      <c r="C47" s="330" t="s">
        <v>4557</v>
      </c>
      <c r="D47" s="265"/>
      <c r="E47" s="273" t="s">
        <v>4558</v>
      </c>
      <c r="F47" s="327" t="s">
        <v>4559</v>
      </c>
      <c r="G47" s="301"/>
      <c r="I47" s="259"/>
      <c r="J47" s="931" t="s">
        <v>4560</v>
      </c>
      <c r="K47" s="931"/>
      <c r="L47" s="340"/>
      <c r="M47" s="341" t="s">
        <v>4561</v>
      </c>
      <c r="N47" s="316"/>
    </row>
    <row r="48" spans="2:14" ht="15" hidden="1" customHeight="1" x14ac:dyDescent="0.25">
      <c r="B48" s="325"/>
      <c r="C48" s="264" t="s">
        <v>4562</v>
      </c>
      <c r="D48" s="333"/>
      <c r="E48" s="334" t="s">
        <v>4554</v>
      </c>
      <c r="F48" s="327" t="s">
        <v>4563</v>
      </c>
      <c r="G48" s="335">
        <f>N41*N43*N42</f>
        <v>0</v>
      </c>
      <c r="I48" s="259"/>
      <c r="J48" s="931" t="s">
        <v>4543</v>
      </c>
      <c r="K48" s="931"/>
      <c r="L48" s="342" t="s">
        <v>4544</v>
      </c>
      <c r="M48" s="341" t="s">
        <v>4564</v>
      </c>
      <c r="N48" s="319"/>
    </row>
    <row r="49" spans="2:14" ht="15" hidden="1" customHeight="1" x14ac:dyDescent="0.25">
      <c r="B49" s="325"/>
      <c r="C49" s="264" t="s">
        <v>4565</v>
      </c>
      <c r="D49" s="343"/>
      <c r="E49" s="344"/>
      <c r="F49" s="327" t="s">
        <v>4566</v>
      </c>
      <c r="G49" s="345">
        <f>IF(OR(G46="",G46=0),0,IF((INT(((N43*N42*N41/G46)-0.05)))=0,1,INT(((N43*N42*N41/G46)))))</f>
        <v>0</v>
      </c>
      <c r="I49" s="259"/>
      <c r="J49" s="931" t="s">
        <v>4567</v>
      </c>
      <c r="K49" s="931"/>
      <c r="L49" s="340"/>
      <c r="M49" s="341" t="s">
        <v>4568</v>
      </c>
      <c r="N49" s="323"/>
    </row>
    <row r="50" spans="2:14" ht="15" hidden="1" customHeight="1" x14ac:dyDescent="0.25">
      <c r="D50" s="76"/>
      <c r="E50" s="76"/>
      <c r="F50" s="76"/>
    </row>
    <row r="51" spans="2:14" ht="15" hidden="1" customHeight="1" x14ac:dyDescent="0.25">
      <c r="B51" s="858" t="s">
        <v>4590</v>
      </c>
      <c r="C51" s="859"/>
      <c r="D51" s="859"/>
      <c r="E51" s="859"/>
      <c r="F51" s="859"/>
      <c r="G51" s="860"/>
      <c r="I51" s="103"/>
      <c r="M51" s="76"/>
    </row>
    <row r="52" spans="2:14" ht="15" hidden="1" customHeight="1" x14ac:dyDescent="0.25">
      <c r="B52" s="259"/>
      <c r="C52" s="260"/>
      <c r="D52" s="260"/>
      <c r="E52" s="260"/>
      <c r="F52" s="261"/>
      <c r="G52" s="262" t="s">
        <v>76</v>
      </c>
      <c r="I52" s="103"/>
      <c r="M52" s="76"/>
    </row>
    <row r="53" spans="2:14" ht="15" hidden="1" customHeight="1" x14ac:dyDescent="0.25">
      <c r="B53" s="902">
        <v>19</v>
      </c>
      <c r="C53" s="280" t="s">
        <v>3901</v>
      </c>
      <c r="D53" s="346"/>
      <c r="E53" s="924" t="s">
        <v>3857</v>
      </c>
      <c r="F53" s="920" t="s">
        <v>3875</v>
      </c>
      <c r="G53" s="926">
        <f>(N35*N36*N39*(N37-N38))/1000</f>
        <v>0</v>
      </c>
      <c r="I53" s="103"/>
      <c r="M53" s="76"/>
    </row>
    <row r="54" spans="2:14" ht="15" hidden="1" customHeight="1" x14ac:dyDescent="0.25">
      <c r="B54" s="760"/>
      <c r="C54" s="281" t="s">
        <v>4244</v>
      </c>
      <c r="D54" s="282">
        <f>D23</f>
        <v>0</v>
      </c>
      <c r="E54" s="925"/>
      <c r="F54" s="921"/>
      <c r="G54" s="927"/>
      <c r="I54" s="103"/>
      <c r="M54" s="76"/>
    </row>
    <row r="55" spans="2:14" ht="15" hidden="1" customHeight="1" x14ac:dyDescent="0.25">
      <c r="B55" s="902">
        <v>20</v>
      </c>
      <c r="C55" s="280" t="s">
        <v>3900</v>
      </c>
      <c r="D55" s="346"/>
      <c r="E55" s="924" t="s">
        <v>3854</v>
      </c>
      <c r="F55" s="920" t="s">
        <v>3874</v>
      </c>
      <c r="G55" s="922">
        <f>(N37*N35*N41*N42*N40*365)/(60*1000000)</f>
        <v>0</v>
      </c>
      <c r="I55" s="103"/>
      <c r="M55" s="76"/>
    </row>
    <row r="56" spans="2:14" ht="15" hidden="1" customHeight="1" x14ac:dyDescent="0.25">
      <c r="B56" s="760"/>
      <c r="C56" s="281" t="s">
        <v>4247</v>
      </c>
      <c r="D56" s="282">
        <f>D25</f>
        <v>0</v>
      </c>
      <c r="E56" s="925"/>
      <c r="F56" s="921"/>
      <c r="G56" s="923"/>
      <c r="I56" s="103"/>
      <c r="M56" s="76"/>
    </row>
    <row r="57" spans="2:14" ht="15" hidden="1" customHeight="1" x14ac:dyDescent="0.25">
      <c r="B57" s="284"/>
      <c r="C57" s="285" t="s">
        <v>4591</v>
      </c>
      <c r="D57" s="536"/>
      <c r="E57" s="537" t="s">
        <v>3911</v>
      </c>
      <c r="F57" s="286" t="s">
        <v>4579</v>
      </c>
      <c r="G57" s="287">
        <f>G53*D54+G55*D56</f>
        <v>0</v>
      </c>
    </row>
    <row r="58" spans="2:14" ht="15" hidden="1" customHeight="1" x14ac:dyDescent="0.25">
      <c r="B58" s="103"/>
      <c r="D58" s="76"/>
      <c r="E58" s="76"/>
      <c r="F58" s="219"/>
      <c r="G58" s="220"/>
      <c r="I58" s="289"/>
      <c r="J58" s="289"/>
      <c r="M58" s="76"/>
    </row>
    <row r="59" spans="2:14" ht="15" hidden="1" customHeight="1" x14ac:dyDescent="0.35">
      <c r="B59" s="103"/>
      <c r="D59" s="76"/>
      <c r="E59" s="213" t="s">
        <v>4492</v>
      </c>
      <c r="F59" s="214"/>
      <c r="G59" s="215">
        <f>RCB!$G$34</f>
        <v>0</v>
      </c>
      <c r="H59" s="289"/>
      <c r="I59" s="213" t="s">
        <v>4493</v>
      </c>
      <c r="J59" s="214"/>
      <c r="K59" s="215">
        <f>RCB!$G$34</f>
        <v>0</v>
      </c>
      <c r="M59" s="76"/>
    </row>
    <row r="60" spans="2:14" ht="15" hidden="1" customHeight="1" x14ac:dyDescent="0.35">
      <c r="B60" s="103"/>
      <c r="D60" s="76"/>
      <c r="E60" s="213" t="s">
        <v>4074</v>
      </c>
      <c r="F60" s="214"/>
      <c r="G60" s="215">
        <f>RCB!$H$30</f>
        <v>0</v>
      </c>
      <c r="H60" s="289"/>
      <c r="I60" s="213" t="s">
        <v>4075</v>
      </c>
      <c r="J60" s="214"/>
      <c r="K60" s="215">
        <f>RCB!$H$30</f>
        <v>0</v>
      </c>
      <c r="M60" s="76"/>
    </row>
  </sheetData>
  <sheetProtection algorithmName="SHA-512" hashValue="Oorqe8k8nQXy36K3LmgGewvdy/vESN85ozeQHflSW0M/9SHGMdpT5Bx46qkXNU8w2PK2xjGZFhjotFYqLOaO2w==" saltValue="3z/FyrF35k3BJIxhCE9Zrw==" spinCount="100000" sheet="1" objects="1" scenarios="1"/>
  <mergeCells count="83">
    <mergeCell ref="Q26:R26"/>
    <mergeCell ref="B12:G12"/>
    <mergeCell ref="D13:G13"/>
    <mergeCell ref="D14:G14"/>
    <mergeCell ref="B2:G2"/>
    <mergeCell ref="B3:G3"/>
    <mergeCell ref="D4:G4"/>
    <mergeCell ref="D5:G5"/>
    <mergeCell ref="J13:K13"/>
    <mergeCell ref="I2:N2"/>
    <mergeCell ref="I3:N3"/>
    <mergeCell ref="I15:N15"/>
    <mergeCell ref="K20:L20"/>
    <mergeCell ref="M13:N1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7:K17"/>
    <mergeCell ref="J14:K14"/>
    <mergeCell ref="J16:K16"/>
    <mergeCell ref="J18:K18"/>
    <mergeCell ref="B33:G33"/>
    <mergeCell ref="I33:N33"/>
    <mergeCell ref="I25:J25"/>
    <mergeCell ref="I20:J20"/>
    <mergeCell ref="I21:J21"/>
    <mergeCell ref="I22:J22"/>
    <mergeCell ref="K21:L21"/>
    <mergeCell ref="E22:E23"/>
    <mergeCell ref="I26:J26"/>
    <mergeCell ref="I23:J23"/>
    <mergeCell ref="D36:G36"/>
    <mergeCell ref="J36:K36"/>
    <mergeCell ref="B34:G34"/>
    <mergeCell ref="I34:N34"/>
    <mergeCell ref="B20:G20"/>
    <mergeCell ref="B22:B23"/>
    <mergeCell ref="B24:B25"/>
    <mergeCell ref="G24:G25"/>
    <mergeCell ref="G22:G23"/>
    <mergeCell ref="F22:F23"/>
    <mergeCell ref="F24:F25"/>
    <mergeCell ref="E24:E25"/>
    <mergeCell ref="K26:L26"/>
    <mergeCell ref="K25:L25"/>
    <mergeCell ref="K24:L24"/>
    <mergeCell ref="K23:L23"/>
    <mergeCell ref="D35:G35"/>
    <mergeCell ref="J35:K35"/>
    <mergeCell ref="K22:L22"/>
    <mergeCell ref="I24:J24"/>
    <mergeCell ref="D45:G45"/>
    <mergeCell ref="J45:K45"/>
    <mergeCell ref="J37:K37"/>
    <mergeCell ref="J38:K38"/>
    <mergeCell ref="J39:K39"/>
    <mergeCell ref="J40:K40"/>
    <mergeCell ref="J41:K41"/>
    <mergeCell ref="J42:K42"/>
    <mergeCell ref="B43:G43"/>
    <mergeCell ref="J43:K43"/>
    <mergeCell ref="D44:G44"/>
    <mergeCell ref="J44:K44"/>
    <mergeCell ref="M44:N44"/>
    <mergeCell ref="I46:N46"/>
    <mergeCell ref="J47:K47"/>
    <mergeCell ref="J48:K48"/>
    <mergeCell ref="J49:K49"/>
    <mergeCell ref="B51:G51"/>
    <mergeCell ref="B55:B56"/>
    <mergeCell ref="F55:F56"/>
    <mergeCell ref="G55:G56"/>
    <mergeCell ref="E53:E54"/>
    <mergeCell ref="E55:E56"/>
    <mergeCell ref="B53:B54"/>
    <mergeCell ref="F53:F54"/>
    <mergeCell ref="G53:G54"/>
  </mergeCells>
  <phoneticPr fontId="68" type="noConversion"/>
  <conditionalFormatting sqref="G30:G31">
    <cfRule type="expression" dxfId="41" priority="4">
      <formula>AND(G30&lt;=#REF!,G30&gt;0)</formula>
    </cfRule>
    <cfRule type="expression" dxfId="40" priority="5">
      <formula>OR(G30&gt;#REF!,G30&lt;0)</formula>
    </cfRule>
  </conditionalFormatting>
  <conditionalFormatting sqref="N8 N39">
    <cfRule type="expression" dxfId="39" priority="6">
      <formula>OR(N8&gt;1,N8&lt;0)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2 A24:F24 A23:C23 E23:O23 A25:C25 A54:C54 A56:C56 A19:O21 A14:M14 O14 A45:M45 A30:J31 P30:S65537 A26:F26 A22:F22 H22:O22 P25:S25 A5:M5 A4:M4 A18:M18 A3:O3 H26:O26 H24:O24 L30:O31 A32:O44 O45 A46:O53 E56:O56 A57:O65536 E54:O54 A55:O55 E25:O25 T3:IV26 A29:O29 T29:IV65536 A9:O9 A6:F6 H6:M6 A7:F7 H7:M7 A8:F8 H8:O8 A15:F15 H15:O15 A16:F16 H16:M16 O4 O5 O6 O7 A13:K13 A10:M10 O10 A11:M11 O11 A12:M12 O12 O16 A17:M17 O17 O18 P27:S27 P26 S26 M13 O13" unlockedFormula="1"/>
  </ignoredErrors>
  <drawing r:id="rId2"/>
  <legacyDrawing r:id="rId3"/>
  <controls>
    <mc:AlternateContent xmlns:mc="http://schemas.openxmlformats.org/markup-compatibility/2006">
      <mc:Choice Requires="x14">
        <control shapeId="66561" r:id="rId4" name="ComboBox1">
          <controlPr defaultSize="0" autoLine="0" linkedCell="CPFL!BB34" listFillRange="Lista_Solar" r:id="rId5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13</xdr:col>
                <xdr:colOff>409575</xdr:colOff>
                <xdr:row>12</xdr:row>
                <xdr:rowOff>114300</xdr:rowOff>
              </to>
            </anchor>
          </controlPr>
        </control>
      </mc:Choice>
      <mc:Fallback>
        <control shapeId="66561" r:id="rId4" name="ComboBox1"/>
      </mc:Fallback>
    </mc:AlternateContent>
  </controls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700-000000000000}">
          <x14:formula1>
            <xm:f>'Referencias UC'!$A$2:$A$21</xm:f>
          </x14:formula1>
          <xm:sqref>P4:P23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8"/>
  <dimension ref="B2:Z123"/>
  <sheetViews>
    <sheetView zoomScale="145" zoomScaleNormal="145" workbookViewId="0">
      <selection activeCell="I9" sqref="I9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1" width="18.85546875" style="52" bestFit="1" customWidth="1"/>
    <col min="12" max="12" width="20.425781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12.57031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3" width="8.4257812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3993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CONDICIONAMENTO AMBIENTAL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27"/>
      <c r="D6" s="828"/>
      <c r="E6" s="828"/>
      <c r="F6" s="828"/>
      <c r="G6" s="828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27"/>
      <c r="D7" s="828"/>
      <c r="E7" s="828"/>
      <c r="F7" s="828"/>
      <c r="G7" s="828"/>
      <c r="H7" s="18"/>
      <c r="I7" s="2"/>
      <c r="J7" s="1"/>
      <c r="K7" s="143">
        <f t="shared" ref="K7:K25" si="0">N7-L7-M7</f>
        <v>0</v>
      </c>
      <c r="L7" s="1"/>
      <c r="M7" s="1"/>
      <c r="N7" s="143">
        <f t="shared" ref="N7:N25" si="1">I7*J7</f>
        <v>0</v>
      </c>
      <c r="P7" s="168">
        <f t="shared" ref="P7:P25" si="2">B7</f>
        <v>2</v>
      </c>
      <c r="Q7" s="834" t="str">
        <f t="shared" ref="Q7:Q25" si="3">IF(OR(C7=0,C7=""),"",C7)</f>
        <v/>
      </c>
      <c r="R7" s="834"/>
      <c r="S7" s="834"/>
      <c r="T7" s="834"/>
      <c r="U7" s="835"/>
      <c r="V7" s="171" t="str">
        <f t="shared" ref="V7:V25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27"/>
      <c r="D8" s="828"/>
      <c r="E8" s="828"/>
      <c r="F8" s="828"/>
      <c r="G8" s="828"/>
      <c r="H8" s="18"/>
      <c r="I8" s="2"/>
      <c r="J8" s="1"/>
      <c r="K8" s="143">
        <f t="shared" si="0"/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 t="shared" si="3"/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27"/>
      <c r="D9" s="828"/>
      <c r="E9" s="828"/>
      <c r="F9" s="828"/>
      <c r="G9" s="828"/>
      <c r="H9" s="18"/>
      <c r="I9" s="2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3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27"/>
      <c r="D10" s="828"/>
      <c r="E10" s="828"/>
      <c r="F10" s="828"/>
      <c r="G10" s="828"/>
      <c r="H10" s="18"/>
      <c r="I10" s="2"/>
      <c r="J10" s="1"/>
      <c r="K10" s="143">
        <f t="shared" si="0"/>
        <v>0</v>
      </c>
      <c r="L10" s="1"/>
      <c r="M10" s="1"/>
      <c r="N10" s="143">
        <f t="shared" si="1"/>
        <v>0</v>
      </c>
      <c r="P10" s="168">
        <f t="shared" si="2"/>
        <v>5</v>
      </c>
      <c r="Q10" s="834" t="str">
        <f t="shared" si="3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27"/>
      <c r="D11" s="828"/>
      <c r="E11" s="828"/>
      <c r="F11" s="828"/>
      <c r="G11" s="828"/>
      <c r="H11" s="18"/>
      <c r="I11" s="2"/>
      <c r="J11" s="1"/>
      <c r="K11" s="143">
        <f t="shared" si="0"/>
        <v>0</v>
      </c>
      <c r="L11" s="1"/>
      <c r="M11" s="1"/>
      <c r="N11" s="143">
        <f t="shared" si="1"/>
        <v>0</v>
      </c>
      <c r="P11" s="168">
        <f t="shared" si="2"/>
        <v>6</v>
      </c>
      <c r="Q11" s="834" t="str">
        <f t="shared" si="3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27"/>
      <c r="D12" s="828"/>
      <c r="E12" s="828"/>
      <c r="F12" s="828"/>
      <c r="G12" s="828"/>
      <c r="H12" s="18"/>
      <c r="I12" s="2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3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27"/>
      <c r="D13" s="828"/>
      <c r="E13" s="828"/>
      <c r="F13" s="828"/>
      <c r="G13" s="828"/>
      <c r="H13" s="18"/>
      <c r="I13" s="2"/>
      <c r="J13" s="1"/>
      <c r="K13" s="143">
        <f t="shared" si="0"/>
        <v>0</v>
      </c>
      <c r="L13" s="1"/>
      <c r="M13" s="1"/>
      <c r="N13" s="143">
        <f t="shared" si="1"/>
        <v>0</v>
      </c>
      <c r="P13" s="168">
        <f t="shared" si="2"/>
        <v>8</v>
      </c>
      <c r="Q13" s="834" t="str">
        <f t="shared" si="3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27"/>
      <c r="D14" s="828"/>
      <c r="E14" s="828"/>
      <c r="F14" s="828"/>
      <c r="G14" s="828"/>
      <c r="H14" s="18"/>
      <c r="I14" s="2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3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27"/>
      <c r="D15" s="828"/>
      <c r="E15" s="828"/>
      <c r="F15" s="828"/>
      <c r="G15" s="828"/>
      <c r="H15" s="18"/>
      <c r="I15" s="2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3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27"/>
      <c r="D16" s="828"/>
      <c r="E16" s="828"/>
      <c r="F16" s="828"/>
      <c r="G16" s="828"/>
      <c r="H16" s="18"/>
      <c r="I16" s="2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3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27"/>
      <c r="D17" s="828"/>
      <c r="E17" s="828"/>
      <c r="F17" s="828"/>
      <c r="G17" s="828"/>
      <c r="H17" s="18"/>
      <c r="I17" s="2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3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27"/>
      <c r="D18" s="828"/>
      <c r="E18" s="828"/>
      <c r="F18" s="828"/>
      <c r="G18" s="828"/>
      <c r="H18" s="18"/>
      <c r="I18" s="2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3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27"/>
      <c r="D19" s="828"/>
      <c r="E19" s="828"/>
      <c r="F19" s="828"/>
      <c r="G19" s="828"/>
      <c r="H19" s="18"/>
      <c r="I19" s="2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3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27"/>
      <c r="D20" s="828"/>
      <c r="E20" s="828"/>
      <c r="F20" s="828"/>
      <c r="G20" s="828"/>
      <c r="H20" s="18"/>
      <c r="I20" s="2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3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27"/>
      <c r="D21" s="828"/>
      <c r="E21" s="828"/>
      <c r="F21" s="828"/>
      <c r="G21" s="828"/>
      <c r="H21" s="18"/>
      <c r="I21" s="2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3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27"/>
      <c r="D22" s="828"/>
      <c r="E22" s="828"/>
      <c r="F22" s="828"/>
      <c r="G22" s="828"/>
      <c r="H22" s="18"/>
      <c r="I22" s="2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3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27"/>
      <c r="D23" s="828"/>
      <c r="E23" s="828"/>
      <c r="F23" s="828"/>
      <c r="G23" s="828"/>
      <c r="H23" s="18"/>
      <c r="I23" s="2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3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27"/>
      <c r="D24" s="828"/>
      <c r="E24" s="828"/>
      <c r="F24" s="828"/>
      <c r="G24" s="828"/>
      <c r="H24" s="18"/>
      <c r="I24" s="2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3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27"/>
      <c r="D25" s="828"/>
      <c r="E25" s="828"/>
      <c r="F25" s="828"/>
      <c r="G25" s="828"/>
      <c r="H25" s="18"/>
      <c r="I25" s="2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3"/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4592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4593</v>
      </c>
      <c r="Q27" s="884"/>
      <c r="R27" s="884"/>
      <c r="S27" s="884"/>
      <c r="T27" s="884"/>
      <c r="U27" s="884"/>
      <c r="V27" s="885"/>
      <c r="W27" s="182" t="s">
        <v>4594</v>
      </c>
      <c r="X27" s="183">
        <f>ROUND(SUM(X6:X26),2)</f>
        <v>0</v>
      </c>
      <c r="Y27" s="183">
        <f>ROUND(SUM(Y6:Y26),2)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4595</v>
      </c>
      <c r="Q29" s="190"/>
      <c r="R29" s="191">
        <f>RCB!$G$8</f>
        <v>0</v>
      </c>
      <c r="T29" s="189" t="s">
        <v>4596</v>
      </c>
      <c r="U29" s="190"/>
      <c r="V29" s="191">
        <f>RCB!$J$8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>N31-L31-M31</f>
        <v>0</v>
      </c>
      <c r="L31" s="143">
        <v>0</v>
      </c>
      <c r="M31" s="143">
        <v>0</v>
      </c>
      <c r="N31" s="143">
        <f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ref="K32:K37" si="5">N32-L32-M32</f>
        <v>0</v>
      </c>
      <c r="L32" s="143">
        <v>0</v>
      </c>
      <c r="M32" s="143">
        <v>0</v>
      </c>
      <c r="N32" s="143">
        <f t="shared" ref="N32:N37" si="6">H32*I32*J32</f>
        <v>0</v>
      </c>
    </row>
    <row r="33" spans="2:16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 t="shared" si="6"/>
        <v>0</v>
      </c>
    </row>
    <row r="34" spans="2:16" ht="15" customHeight="1" x14ac:dyDescent="0.25">
      <c r="B34" s="175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6" ht="15" customHeight="1" x14ac:dyDescent="0.25">
      <c r="B35" s="168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6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6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16" ht="15" customHeight="1" x14ac:dyDescent="0.25">
      <c r="B38" s="195"/>
      <c r="C38" s="877" t="s">
        <v>4597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6" x14ac:dyDescent="0.25">
      <c r="B39" s="180"/>
      <c r="C39" s="844" t="s">
        <v>4598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16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6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6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16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6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16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16" ht="15" customHeight="1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16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Descarte!K28</f>
        <v>0</v>
      </c>
      <c r="L47" s="143">
        <v>0</v>
      </c>
      <c r="M47" s="143">
        <v>0</v>
      </c>
      <c r="N47" s="143">
        <f>Descarte!L28</f>
        <v>0</v>
      </c>
    </row>
    <row r="48" spans="2:16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'M&amp;V'!M151</f>
        <v>0</v>
      </c>
      <c r="L48" s="143">
        <v>0</v>
      </c>
      <c r="M48" s="143">
        <v>0</v>
      </c>
      <c r="N48" s="143">
        <f>'M&amp;V'!N151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4599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4600</v>
      </c>
      <c r="D55" s="823"/>
      <c r="E55" s="823"/>
      <c r="F55" s="823"/>
      <c r="G55" s="823"/>
      <c r="H55" s="823"/>
      <c r="I55" s="823"/>
      <c r="J55" s="824"/>
      <c r="K55" s="183">
        <f>SUM(K54,K39)</f>
        <v>0</v>
      </c>
      <c r="L55" s="183">
        <f>SUM(L54,L39)</f>
        <v>0</v>
      </c>
      <c r="M55" s="183">
        <f>SUM(M54,M39)</f>
        <v>0</v>
      </c>
      <c r="N55" s="183">
        <f>SUM(N54,N39)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4031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CONDICIONAMENTO AMBIENTAL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 t="e">
        <f>IF(AND(K61&gt;0,CustoContabil!#REF!&gt;0),K61*(CustoContabil!#REF!/CustoContabil!#REF!)*W61,0)</f>
        <v>#REF!</v>
      </c>
      <c r="Y61" s="204" t="e">
        <f>IF(AND(N61&gt;0,CustoContabil!#REF!&gt;0),N61*(CustoContabil!#REF!/CustoContabil!#REF!)*W61,0)</f>
        <v>#REF!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7">N62-L62-M62</f>
        <v>0</v>
      </c>
      <c r="L62" s="142"/>
      <c r="M62" s="142"/>
      <c r="N62" s="158">
        <f t="shared" ref="N62:N81" si="8">I62*J62</f>
        <v>0</v>
      </c>
      <c r="P62" s="201">
        <f t="shared" ref="P62:P80" si="9">B62</f>
        <v>2</v>
      </c>
      <c r="Q62" s="866" t="str">
        <f t="shared" ref="Q62:Q81" si="10">IF(OR(C62=0,C62=""),"",C62)</f>
        <v/>
      </c>
      <c r="R62" s="866"/>
      <c r="S62" s="866"/>
      <c r="T62" s="866"/>
      <c r="U62" s="867"/>
      <c r="V62" s="202" t="str">
        <f t="shared" ref="V62:V81" si="11">IF(N62=0,"",H62)</f>
        <v/>
      </c>
      <c r="W62" s="203">
        <f>IF(OR(V62="",V62=0),0,(Projeto!$AD$8*((1+Projeto!$AD$8)^V62))/(((1+Projeto!$AD$8)^V62)-1))</f>
        <v>0</v>
      </c>
      <c r="X62" s="204" t="e">
        <f>IF(AND(K62&gt;0,CustoContabil!#REF!&gt;0),K62*(CustoContabil!#REF!/CustoContabil!#REF!)*W62,0)</f>
        <v>#REF!</v>
      </c>
      <c r="Y62" s="204" t="e">
        <f>IF(AND(N62&gt;0,CustoContabil!#REF!&gt;0),N62*(CustoContabil!#REF!/CustoContabil!#REF!)*W62,0)</f>
        <v>#REF!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 t="e">
        <f>IF(AND(K63&gt;0,CustoContabil!#REF!&gt;0),K63*(CustoContabil!#REF!/CustoContabil!#REF!)*W63,0)</f>
        <v>#REF!</v>
      </c>
      <c r="Y63" s="204" t="e">
        <f>IF(AND(N63&gt;0,CustoContabil!#REF!&gt;0),N63*(CustoContabil!#REF!/CustoContabil!#REF!)*W63,0)</f>
        <v>#REF!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 t="e">
        <f>IF(AND(K64&gt;0,CustoContabil!#REF!&gt;0),K64*(CustoContabil!#REF!/CustoContabil!#REF!)*W64,0)</f>
        <v>#REF!</v>
      </c>
      <c r="Y64" s="204" t="e">
        <f>IF(AND(N64&gt;0,CustoContabil!#REF!&gt;0),N64*(CustoContabil!#REF!/CustoContabil!#REF!)*W64,0)</f>
        <v>#REF!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 t="e">
        <f>IF(AND(K65&gt;0,CustoContabil!#REF!&gt;0),K65*(CustoContabil!#REF!/CustoContabil!#REF!)*W65,0)</f>
        <v>#REF!</v>
      </c>
      <c r="Y65" s="204" t="e">
        <f>IF(AND(N65&gt;0,CustoContabil!#REF!&gt;0),N65*(CustoContabil!#REF!/CustoContabil!#REF!)*W65,0)</f>
        <v>#REF!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 t="e">
        <f>IF(AND(K66&gt;0,CustoContabil!#REF!&gt;0),K66*(CustoContabil!#REF!/CustoContabil!#REF!)*W66,0)</f>
        <v>#REF!</v>
      </c>
      <c r="Y66" s="204" t="e">
        <f>IF(AND(N66&gt;0,CustoContabil!#REF!&gt;0),N66*(CustoContabil!#REF!/CustoContabil!#REF!)*W66,0)</f>
        <v>#REF!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 t="e">
        <f>IF(AND(K67&gt;0,CustoContabil!#REF!&gt;0),K67*(CustoContabil!#REF!/CustoContabil!#REF!)*W67,0)</f>
        <v>#REF!</v>
      </c>
      <c r="Y67" s="204" t="e">
        <f>IF(AND(N67&gt;0,CustoContabil!#REF!&gt;0),N67*(CustoContabil!#REF!/CustoContabil!#REF!)*W67,0)</f>
        <v>#REF!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 t="e">
        <f>IF(AND(K68&gt;0,CustoContabil!#REF!&gt;0),K68*(CustoContabil!#REF!/CustoContabil!#REF!)*W68,0)</f>
        <v>#REF!</v>
      </c>
      <c r="Y68" s="204" t="e">
        <f>IF(AND(N68&gt;0,CustoContabil!#REF!&gt;0),N68*(CustoContabil!#REF!/CustoContabil!#REF!)*W68,0)</f>
        <v>#REF!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 t="e">
        <f>IF(AND(K69&gt;0,CustoContabil!#REF!&gt;0),K69*(CustoContabil!#REF!/CustoContabil!#REF!)*W69,0)</f>
        <v>#REF!</v>
      </c>
      <c r="Y69" s="204" t="e">
        <f>IF(AND(N69&gt;0,CustoContabil!#REF!&gt;0),N69*(CustoContabil!#REF!/CustoContabil!#REF!)*W69,0)</f>
        <v>#REF!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 t="e">
        <f>IF(AND(K70&gt;0,CustoContabil!#REF!&gt;0),K70*(CustoContabil!#REF!/CustoContabil!#REF!)*W70,0)</f>
        <v>#REF!</v>
      </c>
      <c r="Y70" s="204" t="e">
        <f>IF(AND(N70&gt;0,CustoContabil!#REF!&gt;0),N70*(CustoContabil!#REF!/CustoContabil!#REF!)*W70,0)</f>
        <v>#REF!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 t="e">
        <f>IF(AND(K71&gt;0,CustoContabil!#REF!&gt;0),K71*(CustoContabil!#REF!/CustoContabil!#REF!)*W71,0)</f>
        <v>#REF!</v>
      </c>
      <c r="Y71" s="204" t="e">
        <f>IF(AND(N71&gt;0,CustoContabil!#REF!&gt;0),N71*(CustoContabil!#REF!/CustoContabil!#REF!)*W71,0)</f>
        <v>#REF!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 t="e">
        <f>IF(AND(K72&gt;0,CustoContabil!#REF!&gt;0),K72*(CustoContabil!#REF!/CustoContabil!#REF!)*W72,0)</f>
        <v>#REF!</v>
      </c>
      <c r="Y72" s="204" t="e">
        <f>IF(AND(N72&gt;0,CustoContabil!#REF!&gt;0),N72*(CustoContabil!#REF!/CustoContabil!#REF!)*W72,0)</f>
        <v>#REF!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 t="e">
        <f>IF(AND(K73&gt;0,CustoContabil!#REF!&gt;0),K73*(CustoContabil!#REF!/CustoContabil!#REF!)*W73,0)</f>
        <v>#REF!</v>
      </c>
      <c r="Y73" s="204" t="e">
        <f>IF(AND(N73&gt;0,CustoContabil!#REF!&gt;0),N73*(CustoContabil!#REF!/CustoContabil!#REF!)*W73,0)</f>
        <v>#REF!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 t="e">
        <f>IF(AND(K74&gt;0,CustoContabil!#REF!&gt;0),K74*(CustoContabil!#REF!/CustoContabil!#REF!)*W74,0)</f>
        <v>#REF!</v>
      </c>
      <c r="Y74" s="204" t="e">
        <f>IF(AND(N74&gt;0,CustoContabil!#REF!&gt;0),N74*(CustoContabil!#REF!/CustoContabil!#REF!)*W74,0)</f>
        <v>#REF!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 t="e">
        <f>IF(AND(K75&gt;0,CustoContabil!#REF!&gt;0),K75*(CustoContabil!#REF!/CustoContabil!#REF!)*W75,0)</f>
        <v>#REF!</v>
      </c>
      <c r="Y75" s="204" t="e">
        <f>IF(AND(N75&gt;0,CustoContabil!#REF!&gt;0),N75*(CustoContabil!#REF!/CustoContabil!#REF!)*W75,0)</f>
        <v>#REF!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 t="e">
        <f>IF(AND(K76&gt;0,CustoContabil!#REF!&gt;0),K76*(CustoContabil!#REF!/CustoContabil!#REF!)*W76,0)</f>
        <v>#REF!</v>
      </c>
      <c r="Y76" s="204" t="e">
        <f>IF(AND(N76&gt;0,CustoContabil!#REF!&gt;0),N76*(CustoContabil!#REF!/CustoContabil!#REF!)*W76,0)</f>
        <v>#REF!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 t="e">
        <f>IF(AND(K77&gt;0,CustoContabil!#REF!&gt;0),K77*(CustoContabil!#REF!/CustoContabil!#REF!)*W77,0)</f>
        <v>#REF!</v>
      </c>
      <c r="Y77" s="204" t="e">
        <f>IF(AND(N77&gt;0,CustoContabil!#REF!&gt;0),N77*(CustoContabil!#REF!/CustoContabil!#REF!)*W77,0)</f>
        <v>#REF!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 t="e">
        <f>IF(AND(K78&gt;0,CustoContabil!#REF!&gt;0),K78*(CustoContabil!#REF!/CustoContabil!#REF!)*W78,0)</f>
        <v>#REF!</v>
      </c>
      <c r="Y78" s="204" t="e">
        <f>IF(AND(N78&gt;0,CustoContabil!#REF!&gt;0),N78*(CustoContabil!#REF!/CustoContabil!#REF!)*W78,0)</f>
        <v>#REF!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 t="e">
        <f>IF(AND(K79&gt;0,CustoContabil!#REF!&gt;0),K79*(CustoContabil!#REF!/CustoContabil!#REF!)*W79,0)</f>
        <v>#REF!</v>
      </c>
      <c r="Y79" s="204" t="e">
        <f>IF(AND(N79&gt;0,CustoContabil!#REF!&gt;0),N79*(CustoContabil!#REF!/CustoContabil!#REF!)*W79,0)</f>
        <v>#REF!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 t="e">
        <f>IF(AND(K80&gt;0,CustoContabil!#REF!&gt;0),K80*(CustoContabil!#REF!/CustoContabil!#REF!)*W80,0)</f>
        <v>#REF!</v>
      </c>
      <c r="Y80" s="204" t="e">
        <f>IF(AND(N80&gt;0,CustoContabil!#REF!&gt;0),N80*(CustoContabil!#REF!/CustoContabil!#REF!)*W80,0)</f>
        <v>#REF!</v>
      </c>
    </row>
    <row r="81" spans="2:25" ht="15" hidden="1" customHeight="1" x14ac:dyDescent="0.25">
      <c r="B81" s="201"/>
      <c r="C81" s="868" t="s">
        <v>4066</v>
      </c>
      <c r="D81" s="869"/>
      <c r="E81" s="869"/>
      <c r="F81" s="869"/>
      <c r="G81" s="869"/>
      <c r="H81" s="205">
        <v>20</v>
      </c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/>
      <c r="Q81" s="866" t="str">
        <f t="shared" si="10"/>
        <v>Acessórios</v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 t="e">
        <f>IF(AND(K81&gt;0,CustoContabil!#REF!&gt;0),K81*(CustoContabil!#REF!/CustoContabil!#REF!)*W81,0)</f>
        <v>#REF!</v>
      </c>
      <c r="Y81" s="204" t="e">
        <f>IF(AND(N81&gt;0,CustoContabil!#REF!&gt;0),N81*(CustoContabil!#REF!/CustoContabil!#REF!)*W81,0)</f>
        <v>#REF!</v>
      </c>
    </row>
    <row r="82" spans="2:25" ht="15" hidden="1" customHeight="1" x14ac:dyDescent="0.25">
      <c r="B82" s="206"/>
      <c r="C82" s="838" t="s">
        <v>4592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4601</v>
      </c>
      <c r="Q82" s="872"/>
      <c r="R82" s="872"/>
      <c r="S82" s="872"/>
      <c r="T82" s="872"/>
      <c r="U82" s="872"/>
      <c r="V82" s="873"/>
      <c r="W82" s="208" t="s">
        <v>4594</v>
      </c>
      <c r="X82" s="209" t="e">
        <f>SUM(X61:X81)</f>
        <v>#REF!</v>
      </c>
      <c r="Y82" s="209" t="e">
        <f>SUM(Y61:Y81)</f>
        <v>#REF!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4595</v>
      </c>
      <c r="Q84" s="214"/>
      <c r="R84" s="215">
        <f>RCB!$G$31</f>
        <v>0</v>
      </c>
      <c r="T84" s="213" t="s">
        <v>4596</v>
      </c>
      <c r="U84" s="214"/>
      <c r="V84" s="215">
        <f>RCB!$J$31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RCB!$H$30</f>
        <v>0</v>
      </c>
      <c r="T85" s="213" t="s">
        <v>4075</v>
      </c>
      <c r="U85" s="214"/>
      <c r="V85" s="215">
        <f>RCB!$K$30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</row>
    <row r="91" spans="2:25" ht="15" hidden="1" customHeight="1" x14ac:dyDescent="0.25">
      <c r="B91" s="210"/>
      <c r="C91" s="874" t="s">
        <v>4597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</row>
    <row r="92" spans="2:25" ht="15" hidden="1" customHeight="1" x14ac:dyDescent="0.25">
      <c r="B92" s="206"/>
      <c r="C92" s="838" t="s">
        <v>4602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11"/>
      <c r="M94" s="212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4603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4598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11"/>
      <c r="M104" s="212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3925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 t="e">
        <f>Descarte!K122</f>
        <v>#REF!</v>
      </c>
      <c r="L115" s="158" t="e">
        <f>Descarte!#REF!</f>
        <v>#REF!</v>
      </c>
      <c r="M115" s="158" t="e">
        <f>Descarte!#REF!</f>
        <v>#REF!</v>
      </c>
      <c r="N115" s="158">
        <f>Descarte!L122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 t="e">
        <f>'M&amp;V'!M517</f>
        <v>#REF!</v>
      </c>
      <c r="L116" s="158" t="e">
        <f>'M&amp;V'!#REF!</f>
        <v>#REF!</v>
      </c>
      <c r="M116" s="158" t="e">
        <f>'M&amp;V'!#REF!</f>
        <v>#REF!</v>
      </c>
      <c r="N116" s="158">
        <f>'M&amp;V'!N517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t="15" hidden="1" customHeight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t="15" hidden="1" customHeight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t="15" hidden="1" customHeight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t="15" hidden="1" customHeight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t="15" hidden="1" customHeight="1" x14ac:dyDescent="0.25">
      <c r="B122" s="217"/>
      <c r="C122" s="840" t="s">
        <v>4599</v>
      </c>
      <c r="D122" s="840"/>
      <c r="E122" s="840"/>
      <c r="F122" s="840"/>
      <c r="G122" s="840"/>
      <c r="H122" s="840"/>
      <c r="I122" s="840"/>
      <c r="J122" s="841"/>
      <c r="K122" s="164" t="e">
        <f>SUM(K104,K109,K114:K116,K121)</f>
        <v>#REF!</v>
      </c>
      <c r="L122" s="164" t="e">
        <f>SUM(L104,L109,L114:L116,L121)</f>
        <v>#REF!</v>
      </c>
      <c r="M122" s="164" t="e">
        <f>SUM(M104,M109,M114:M116,M121)</f>
        <v>#REF!</v>
      </c>
      <c r="N122" s="164">
        <f>SUM(N104,N109,N114:N116,N121)</f>
        <v>0</v>
      </c>
    </row>
    <row r="123" spans="2:16" ht="15" hidden="1" customHeight="1" x14ac:dyDescent="0.25">
      <c r="B123" s="218"/>
      <c r="C123" s="818" t="s">
        <v>4604</v>
      </c>
      <c r="D123" s="818"/>
      <c r="E123" s="818"/>
      <c r="F123" s="818"/>
      <c r="G123" s="818"/>
      <c r="H123" s="818"/>
      <c r="I123" s="818"/>
      <c r="J123" s="819"/>
      <c r="K123" s="209" t="e">
        <f>SUM(K101,K122)</f>
        <v>#REF!</v>
      </c>
      <c r="L123" s="209" t="e">
        <f>SUM(L101,L122)</f>
        <v>#REF!</v>
      </c>
      <c r="M123" s="209" t="e">
        <f>SUM(M101,M122)</f>
        <v>#REF!</v>
      </c>
      <c r="N123" s="209">
        <f>SUM(N101,N122)</f>
        <v>0</v>
      </c>
    </row>
  </sheetData>
  <sheetProtection algorithmName="SHA-512" hashValue="Rid8HcXaElmIH8TYjjHWmPjVeC2IUZrRdiXQfqkWF22LnsxN7xV3CPE9Lv8XEEV642wNLjiIy4AE9uDK0SC8zg==" saltValue="rv8xQp7Qj7694kytlkH4NA==" spinCount="100000" sheet="1" objects="1" scenarios="1"/>
  <mergeCells count="179">
    <mergeCell ref="Q15:U15"/>
    <mergeCell ref="Q16:U16"/>
    <mergeCell ref="Q17:U17"/>
    <mergeCell ref="Q18:U18"/>
    <mergeCell ref="C16:G16"/>
    <mergeCell ref="B2:N2"/>
    <mergeCell ref="B3:N3"/>
    <mergeCell ref="P2:Y2"/>
    <mergeCell ref="P3:Y3"/>
    <mergeCell ref="B4:J4"/>
    <mergeCell ref="K4:N4"/>
    <mergeCell ref="Q6:U6"/>
    <mergeCell ref="Q7:U7"/>
    <mergeCell ref="Q8:U8"/>
    <mergeCell ref="Q9:U9"/>
    <mergeCell ref="Q10:U10"/>
    <mergeCell ref="Q11:U11"/>
    <mergeCell ref="Q12:U12"/>
    <mergeCell ref="Q25:U25"/>
    <mergeCell ref="C17:G17"/>
    <mergeCell ref="C18:G18"/>
    <mergeCell ref="C19:G19"/>
    <mergeCell ref="C20:G20"/>
    <mergeCell ref="C21:G21"/>
    <mergeCell ref="C25:G25"/>
    <mergeCell ref="C22:G22"/>
    <mergeCell ref="C23:G23"/>
    <mergeCell ref="C24:G24"/>
    <mergeCell ref="Q19:U19"/>
    <mergeCell ref="C27:J27"/>
    <mergeCell ref="P27:V27"/>
    <mergeCell ref="C26:G26"/>
    <mergeCell ref="Q26:U26"/>
    <mergeCell ref="C15:G15"/>
    <mergeCell ref="P4:X4"/>
    <mergeCell ref="B5:G5"/>
    <mergeCell ref="P5:U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Q20:U20"/>
    <mergeCell ref="Q21:U21"/>
    <mergeCell ref="Q22:U22"/>
    <mergeCell ref="Q23:U23"/>
    <mergeCell ref="Q24:U24"/>
    <mergeCell ref="Q13:U13"/>
    <mergeCell ref="Q14:U14"/>
    <mergeCell ref="C33:G33"/>
    <mergeCell ref="C34:G34"/>
    <mergeCell ref="K28:N29"/>
    <mergeCell ref="C37:G37"/>
    <mergeCell ref="C38:J38"/>
    <mergeCell ref="C39:J39"/>
    <mergeCell ref="B30:G30"/>
    <mergeCell ref="C31:G31"/>
    <mergeCell ref="C32:G32"/>
    <mergeCell ref="B28:J29"/>
    <mergeCell ref="B40:N40"/>
    <mergeCell ref="C35:G35"/>
    <mergeCell ref="C36:G36"/>
    <mergeCell ref="B41:J41"/>
    <mergeCell ref="K41:N41"/>
    <mergeCell ref="P59:X59"/>
    <mergeCell ref="C54:J54"/>
    <mergeCell ref="C55:J55"/>
    <mergeCell ref="B57:N57"/>
    <mergeCell ref="B58:N58"/>
    <mergeCell ref="P57:Y57"/>
    <mergeCell ref="P58:Y58"/>
    <mergeCell ref="B59:J59"/>
    <mergeCell ref="C65:G65"/>
    <mergeCell ref="Q65:U65"/>
    <mergeCell ref="C46:J46"/>
    <mergeCell ref="C47:J47"/>
    <mergeCell ref="B42:H42"/>
    <mergeCell ref="C43:H43"/>
    <mergeCell ref="C44:H44"/>
    <mergeCell ref="C45:H45"/>
    <mergeCell ref="K59:N59"/>
    <mergeCell ref="C48:J48"/>
    <mergeCell ref="B49:H49"/>
    <mergeCell ref="C50:H50"/>
    <mergeCell ref="C51:H51"/>
    <mergeCell ref="C52:H52"/>
    <mergeCell ref="C53:J53"/>
    <mergeCell ref="B60:G60"/>
    <mergeCell ref="P60:U60"/>
    <mergeCell ref="C61:G61"/>
    <mergeCell ref="Q61:U61"/>
    <mergeCell ref="C62:G62"/>
    <mergeCell ref="Q62:U62"/>
    <mergeCell ref="C63:G63"/>
    <mergeCell ref="Q63:U63"/>
    <mergeCell ref="C64:G64"/>
    <mergeCell ref="Q64:U64"/>
    <mergeCell ref="C77:G77"/>
    <mergeCell ref="Q77:U77"/>
    <mergeCell ref="C66:G66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72:G72"/>
    <mergeCell ref="Q72:U72"/>
    <mergeCell ref="C73:G73"/>
    <mergeCell ref="Q73:U73"/>
    <mergeCell ref="C74:G74"/>
    <mergeCell ref="Q74:U74"/>
    <mergeCell ref="C75:G75"/>
    <mergeCell ref="Q75:U75"/>
    <mergeCell ref="C76:G76"/>
    <mergeCell ref="Q76:U76"/>
    <mergeCell ref="C81:G81"/>
    <mergeCell ref="Q81:U81"/>
    <mergeCell ref="C82:J82"/>
    <mergeCell ref="P82:V82"/>
    <mergeCell ref="C78:G78"/>
    <mergeCell ref="Q78:U78"/>
    <mergeCell ref="C79:G79"/>
    <mergeCell ref="Q79:U79"/>
    <mergeCell ref="C80:G80"/>
    <mergeCell ref="Q80:U80"/>
    <mergeCell ref="B83:J83"/>
    <mergeCell ref="K83:N83"/>
    <mergeCell ref="C90:G90"/>
    <mergeCell ref="C91:J91"/>
    <mergeCell ref="C92:J92"/>
    <mergeCell ref="C84:J84"/>
    <mergeCell ref="B85:G85"/>
    <mergeCell ref="C86:G86"/>
    <mergeCell ref="C87:G87"/>
    <mergeCell ref="C88:G88"/>
    <mergeCell ref="C89:G89"/>
    <mergeCell ref="B93:J93"/>
    <mergeCell ref="K93:N93"/>
    <mergeCell ref="C99:J99"/>
    <mergeCell ref="C100:J100"/>
    <mergeCell ref="C101:J101"/>
    <mergeCell ref="C94:J94"/>
    <mergeCell ref="B95:H95"/>
    <mergeCell ref="C96:H96"/>
    <mergeCell ref="C97:H97"/>
    <mergeCell ref="C98:H98"/>
    <mergeCell ref="B102:N102"/>
    <mergeCell ref="C123:J123"/>
    <mergeCell ref="C118:H118"/>
    <mergeCell ref="C119:H119"/>
    <mergeCell ref="C120:H120"/>
    <mergeCell ref="C121:J121"/>
    <mergeCell ref="C122:J122"/>
    <mergeCell ref="C104:J104"/>
    <mergeCell ref="C109:J109"/>
    <mergeCell ref="C112:H112"/>
    <mergeCell ref="C113:H113"/>
    <mergeCell ref="B103:J103"/>
    <mergeCell ref="K103:N103"/>
    <mergeCell ref="C114:J114"/>
    <mergeCell ref="C115:J115"/>
    <mergeCell ref="C116:J116"/>
    <mergeCell ref="B117:H117"/>
    <mergeCell ref="B105:H105"/>
    <mergeCell ref="C106:H106"/>
    <mergeCell ref="C107:H107"/>
    <mergeCell ref="C108:H108"/>
    <mergeCell ref="B110:H110"/>
    <mergeCell ref="C111:H111"/>
  </mergeCells>
  <conditionalFormatting sqref="K6:K27 K31:K39 L38:N39 K43:K48 N46 N48 K50:K55 L55:N55 K61:K82 K84 K86:K92 K94 K96:K101 K104 K106:K109 K111:K116 K118:K123">
    <cfRule type="cellIs" dxfId="38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:IV4 A45:K45 A56:IV60 A54:J54 N42:IV42 O28:IV29 A27:J27 A6:G6 A26:J26 A30:K30 A28:B28 K28 A29 A49:K49 N49:IV49 A40:IV41 A55:J55 O54:IV55 K6 A39:B39 D31:K31 A31:B34 H32:J34 X6:IV6 Z26:IV27 A82:IV65448 A61:V61 L26:M26 O26:U26 A62:V81 X61:IV81 A37 C37:J37 O32:IV34 A38:J38 O37:IV38 A52:K52 A48:J48 O48:IV48 A5:K5 N5:IV5 O27:W27 N30:IV31 A42:K42 O39:IV39 D39:J39 A47:J47 A46:J46 O46:IV46 A43:K43 N43:IV43 A44:K44 N44:IV44 N45:IV45 N47:IV47 A53:J53 M53:IV53 A50:K50 O50:IV50 A51:K51 N51:IV51 O52:IV52 M6:V6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9"/>
  <dimension ref="A1:DC106"/>
  <sheetViews>
    <sheetView zoomScaleNormal="100" workbookViewId="0">
      <selection activeCell="J30" sqref="J30"/>
    </sheetView>
  </sheetViews>
  <sheetFormatPr defaultColWidth="9.140625" defaultRowHeight="15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1.7109375" style="76" customWidth="1"/>
    <col min="5" max="5" width="9.85546875" style="219" bestFit="1" customWidth="1"/>
    <col min="6" max="6" width="9.85546875" style="220" bestFit="1" customWidth="1"/>
    <col min="7" max="8" width="13.5703125" style="76" bestFit="1" customWidth="1"/>
    <col min="9" max="107" width="11.7109375" style="76" customWidth="1"/>
    <col min="108" max="16384" width="9.140625" style="76"/>
  </cols>
  <sheetData>
    <row r="1" spans="1:107" x14ac:dyDescent="0.25">
      <c r="A1" s="52"/>
    </row>
    <row r="2" spans="1:107" ht="15" customHeight="1" x14ac:dyDescent="0.25">
      <c r="B2" s="649" t="s">
        <v>4605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</row>
    <row r="3" spans="1:10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4606</v>
      </c>
      <c r="I3" s="224" t="s">
        <v>4607</v>
      </c>
      <c r="J3" s="224" t="s">
        <v>4608</v>
      </c>
      <c r="K3" s="224" t="s">
        <v>4609</v>
      </c>
      <c r="L3" s="224" t="s">
        <v>4610</v>
      </c>
      <c r="M3" s="224" t="s">
        <v>4611</v>
      </c>
      <c r="N3" s="224" t="s">
        <v>4612</v>
      </c>
      <c r="O3" s="224" t="s">
        <v>4613</v>
      </c>
      <c r="P3" s="224" t="s">
        <v>4614</v>
      </c>
      <c r="Q3" s="224" t="s">
        <v>4615</v>
      </c>
      <c r="R3" s="224" t="s">
        <v>4616</v>
      </c>
      <c r="S3" s="224" t="s">
        <v>4617</v>
      </c>
      <c r="T3" s="224" t="s">
        <v>4618</v>
      </c>
      <c r="U3" s="224" t="s">
        <v>4619</v>
      </c>
      <c r="V3" s="224" t="s">
        <v>4620</v>
      </c>
      <c r="W3" s="224" t="s">
        <v>4621</v>
      </c>
      <c r="X3" s="224" t="s">
        <v>4622</v>
      </c>
      <c r="Y3" s="224" t="s">
        <v>4623</v>
      </c>
      <c r="Z3" s="224" t="s">
        <v>4624</v>
      </c>
      <c r="AA3" s="224" t="s">
        <v>4625</v>
      </c>
      <c r="AB3" s="224" t="s">
        <v>4626</v>
      </c>
      <c r="AC3" s="224" t="s">
        <v>4627</v>
      </c>
      <c r="AD3" s="224" t="s">
        <v>4628</v>
      </c>
      <c r="AE3" s="224" t="s">
        <v>4629</v>
      </c>
      <c r="AF3" s="224" t="s">
        <v>4630</v>
      </c>
      <c r="AG3" s="224" t="s">
        <v>4631</v>
      </c>
      <c r="AH3" s="224" t="s">
        <v>4632</v>
      </c>
      <c r="AI3" s="224" t="s">
        <v>4633</v>
      </c>
      <c r="AJ3" s="224" t="s">
        <v>4634</v>
      </c>
      <c r="AK3" s="224" t="s">
        <v>4635</v>
      </c>
      <c r="AL3" s="224" t="s">
        <v>4636</v>
      </c>
      <c r="AM3" s="224" t="s">
        <v>4637</v>
      </c>
      <c r="AN3" s="224" t="s">
        <v>4638</v>
      </c>
      <c r="AO3" s="224" t="s">
        <v>4639</v>
      </c>
      <c r="AP3" s="224" t="s">
        <v>4640</v>
      </c>
      <c r="AQ3" s="224" t="s">
        <v>4641</v>
      </c>
      <c r="AR3" s="224" t="s">
        <v>4642</v>
      </c>
      <c r="AS3" s="224" t="s">
        <v>4643</v>
      </c>
      <c r="AT3" s="224" t="s">
        <v>4644</v>
      </c>
      <c r="AU3" s="224" t="s">
        <v>4645</v>
      </c>
      <c r="AV3" s="224" t="s">
        <v>4646</v>
      </c>
      <c r="AW3" s="224" t="s">
        <v>4647</v>
      </c>
      <c r="AX3" s="224" t="s">
        <v>4648</v>
      </c>
      <c r="AY3" s="224" t="s">
        <v>4649</v>
      </c>
      <c r="AZ3" s="224" t="s">
        <v>4650</v>
      </c>
      <c r="BA3" s="224" t="s">
        <v>4651</v>
      </c>
      <c r="BB3" s="224" t="s">
        <v>4652</v>
      </c>
      <c r="BC3" s="224" t="s">
        <v>4653</v>
      </c>
      <c r="BD3" s="224" t="s">
        <v>4654</v>
      </c>
      <c r="BE3" s="224" t="s">
        <v>4655</v>
      </c>
      <c r="BF3" s="224" t="s">
        <v>4656</v>
      </c>
      <c r="BG3" s="224" t="s">
        <v>4657</v>
      </c>
      <c r="BH3" s="224" t="s">
        <v>4658</v>
      </c>
      <c r="BI3" s="224" t="s">
        <v>4659</v>
      </c>
      <c r="BJ3" s="224" t="s">
        <v>4660</v>
      </c>
      <c r="BK3" s="224" t="s">
        <v>4661</v>
      </c>
      <c r="BL3" s="224" t="s">
        <v>4662</v>
      </c>
      <c r="BM3" s="224" t="s">
        <v>4663</v>
      </c>
      <c r="BN3" s="224" t="s">
        <v>4664</v>
      </c>
      <c r="BO3" s="224" t="s">
        <v>4665</v>
      </c>
      <c r="BP3" s="224" t="s">
        <v>4666</v>
      </c>
      <c r="BQ3" s="224" t="s">
        <v>4667</v>
      </c>
      <c r="BR3" s="224" t="s">
        <v>4668</v>
      </c>
      <c r="BS3" s="224" t="s">
        <v>4669</v>
      </c>
      <c r="BT3" s="224" t="s">
        <v>4670</v>
      </c>
      <c r="BU3" s="224" t="s">
        <v>4671</v>
      </c>
      <c r="BV3" s="224" t="s">
        <v>4672</v>
      </c>
      <c r="BW3" s="224" t="s">
        <v>4673</v>
      </c>
      <c r="BX3" s="224" t="s">
        <v>4674</v>
      </c>
      <c r="BY3" s="224" t="s">
        <v>4675</v>
      </c>
      <c r="BZ3" s="224" t="s">
        <v>4676</v>
      </c>
      <c r="CA3" s="224" t="s">
        <v>4677</v>
      </c>
      <c r="CB3" s="224" t="s">
        <v>4678</v>
      </c>
      <c r="CC3" s="224" t="s">
        <v>4679</v>
      </c>
      <c r="CD3" s="224" t="s">
        <v>4680</v>
      </c>
      <c r="CE3" s="224" t="s">
        <v>4681</v>
      </c>
      <c r="CF3" s="224" t="s">
        <v>4682</v>
      </c>
      <c r="CG3" s="224" t="s">
        <v>4683</v>
      </c>
      <c r="CH3" s="224" t="s">
        <v>4684</v>
      </c>
      <c r="CI3" s="224" t="s">
        <v>4685</v>
      </c>
      <c r="CJ3" s="224" t="s">
        <v>4686</v>
      </c>
      <c r="CK3" s="224" t="s">
        <v>4687</v>
      </c>
      <c r="CL3" s="224" t="s">
        <v>4688</v>
      </c>
      <c r="CM3" s="224" t="s">
        <v>4689</v>
      </c>
      <c r="CN3" s="224" t="s">
        <v>4690</v>
      </c>
      <c r="CO3" s="224" t="s">
        <v>4691</v>
      </c>
      <c r="CP3" s="224" t="s">
        <v>4692</v>
      </c>
      <c r="CQ3" s="224" t="s">
        <v>4693</v>
      </c>
      <c r="CR3" s="224" t="s">
        <v>4694</v>
      </c>
      <c r="CS3" s="224" t="s">
        <v>4695</v>
      </c>
      <c r="CT3" s="224" t="s">
        <v>4696</v>
      </c>
      <c r="CU3" s="224" t="s">
        <v>4697</v>
      </c>
      <c r="CV3" s="224" t="s">
        <v>4698</v>
      </c>
      <c r="CW3" s="224" t="s">
        <v>4699</v>
      </c>
      <c r="CX3" s="224" t="s">
        <v>4700</v>
      </c>
      <c r="CY3" s="224" t="s">
        <v>4701</v>
      </c>
      <c r="CZ3" s="224" t="s">
        <v>4702</v>
      </c>
      <c r="DA3" s="224" t="s">
        <v>4703</v>
      </c>
      <c r="DB3" s="224" t="s">
        <v>4704</v>
      </c>
      <c r="DC3" s="224" t="s">
        <v>4705</v>
      </c>
    </row>
    <row r="4" spans="1:10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</row>
    <row r="5" spans="1:107" ht="15" customHeight="1" x14ac:dyDescent="0.25">
      <c r="B5" s="515">
        <v>2</v>
      </c>
      <c r="C5" s="225" t="s">
        <v>4196</v>
      </c>
      <c r="D5" s="225"/>
      <c r="E5" s="226"/>
      <c r="F5" s="227"/>
      <c r="G5" s="22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spans="1:107" ht="15" customHeight="1" x14ac:dyDescent="0.25">
      <c r="B6" s="515">
        <v>3</v>
      </c>
      <c r="C6" s="225" t="s">
        <v>4706</v>
      </c>
      <c r="D6" s="225"/>
      <c r="E6" s="231" t="s">
        <v>4707</v>
      </c>
      <c r="F6" s="232" t="s">
        <v>4259</v>
      </c>
      <c r="G6" s="235">
        <f>SUM(H6:DC6)</f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</row>
    <row r="7" spans="1:107" ht="15" customHeight="1" x14ac:dyDescent="0.25">
      <c r="B7" s="515">
        <v>4</v>
      </c>
      <c r="C7" s="225" t="s">
        <v>4708</v>
      </c>
      <c r="D7" s="225"/>
      <c r="E7" s="231" t="s">
        <v>4709</v>
      </c>
      <c r="F7" s="232" t="s">
        <v>4710</v>
      </c>
      <c r="G7" s="23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</row>
    <row r="8" spans="1:107" ht="15" customHeight="1" x14ac:dyDescent="0.25">
      <c r="B8" s="515">
        <v>5</v>
      </c>
      <c r="C8" s="225" t="s">
        <v>3980</v>
      </c>
      <c r="D8" s="225"/>
      <c r="E8" s="231"/>
      <c r="F8" s="232" t="s">
        <v>4257</v>
      </c>
      <c r="G8" s="235">
        <f>SUM(H8:DC8)</f>
        <v>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</row>
    <row r="9" spans="1:107" ht="15" customHeight="1" x14ac:dyDescent="0.25">
      <c r="B9" s="544">
        <v>6</v>
      </c>
      <c r="C9" s="225" t="s">
        <v>4205</v>
      </c>
      <c r="D9" s="225"/>
      <c r="E9" s="231" t="s">
        <v>3857</v>
      </c>
      <c r="F9" s="232" t="s">
        <v>4206</v>
      </c>
      <c r="G9" s="554">
        <f>SUM(H9:DC9)</f>
        <v>0</v>
      </c>
      <c r="H9" s="236">
        <f>IF(H7=0,0,((H6*0.293*H8)/(1000*H7)))</f>
        <v>0</v>
      </c>
      <c r="I9" s="236">
        <f t="shared" ref="I9:Z9" si="0">IF(I7=0,0,((I6*0.293*I8)/(1000*I7)))</f>
        <v>0</v>
      </c>
      <c r="J9" s="236">
        <f t="shared" si="0"/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6">
        <f t="shared" si="0"/>
        <v>0</v>
      </c>
      <c r="P9" s="236">
        <f t="shared" si="0"/>
        <v>0</v>
      </c>
      <c r="Q9" s="236">
        <f t="shared" si="0"/>
        <v>0</v>
      </c>
      <c r="R9" s="236">
        <f t="shared" si="0"/>
        <v>0</v>
      </c>
      <c r="S9" s="236">
        <f t="shared" si="0"/>
        <v>0</v>
      </c>
      <c r="T9" s="236">
        <f t="shared" si="0"/>
        <v>0</v>
      </c>
      <c r="U9" s="236">
        <f t="shared" si="0"/>
        <v>0</v>
      </c>
      <c r="V9" s="236">
        <f t="shared" si="0"/>
        <v>0</v>
      </c>
      <c r="W9" s="236">
        <f t="shared" si="0"/>
        <v>0</v>
      </c>
      <c r="X9" s="236">
        <f t="shared" si="0"/>
        <v>0</v>
      </c>
      <c r="Y9" s="236">
        <f t="shared" si="0"/>
        <v>0</v>
      </c>
      <c r="Z9" s="236">
        <f t="shared" si="0"/>
        <v>0</v>
      </c>
      <c r="AA9" s="236">
        <f t="shared" ref="AA9:CL9" si="1">IF(AA7=0,0,((AA6*0.293*AA8)/(1000*AA7)))</f>
        <v>0</v>
      </c>
      <c r="AB9" s="236">
        <f t="shared" si="1"/>
        <v>0</v>
      </c>
      <c r="AC9" s="236">
        <f t="shared" si="1"/>
        <v>0</v>
      </c>
      <c r="AD9" s="236">
        <f t="shared" si="1"/>
        <v>0</v>
      </c>
      <c r="AE9" s="236">
        <f t="shared" si="1"/>
        <v>0</v>
      </c>
      <c r="AF9" s="236">
        <f t="shared" si="1"/>
        <v>0</v>
      </c>
      <c r="AG9" s="236">
        <f t="shared" si="1"/>
        <v>0</v>
      </c>
      <c r="AH9" s="236">
        <f t="shared" si="1"/>
        <v>0</v>
      </c>
      <c r="AI9" s="236">
        <f t="shared" si="1"/>
        <v>0</v>
      </c>
      <c r="AJ9" s="236">
        <f t="shared" si="1"/>
        <v>0</v>
      </c>
      <c r="AK9" s="236">
        <f t="shared" si="1"/>
        <v>0</v>
      </c>
      <c r="AL9" s="236">
        <f t="shared" si="1"/>
        <v>0</v>
      </c>
      <c r="AM9" s="236">
        <f t="shared" si="1"/>
        <v>0</v>
      </c>
      <c r="AN9" s="236">
        <f t="shared" si="1"/>
        <v>0</v>
      </c>
      <c r="AO9" s="236">
        <f t="shared" si="1"/>
        <v>0</v>
      </c>
      <c r="AP9" s="236">
        <f t="shared" si="1"/>
        <v>0</v>
      </c>
      <c r="AQ9" s="236">
        <f t="shared" si="1"/>
        <v>0</v>
      </c>
      <c r="AR9" s="236">
        <f t="shared" si="1"/>
        <v>0</v>
      </c>
      <c r="AS9" s="236">
        <f t="shared" si="1"/>
        <v>0</v>
      </c>
      <c r="AT9" s="236">
        <f t="shared" si="1"/>
        <v>0</v>
      </c>
      <c r="AU9" s="236">
        <f t="shared" si="1"/>
        <v>0</v>
      </c>
      <c r="AV9" s="236">
        <f t="shared" si="1"/>
        <v>0</v>
      </c>
      <c r="AW9" s="236">
        <f t="shared" si="1"/>
        <v>0</v>
      </c>
      <c r="AX9" s="236">
        <f t="shared" si="1"/>
        <v>0</v>
      </c>
      <c r="AY9" s="236">
        <f t="shared" si="1"/>
        <v>0</v>
      </c>
      <c r="AZ9" s="236">
        <f t="shared" si="1"/>
        <v>0</v>
      </c>
      <c r="BA9" s="236">
        <f t="shared" si="1"/>
        <v>0</v>
      </c>
      <c r="BB9" s="236">
        <f t="shared" si="1"/>
        <v>0</v>
      </c>
      <c r="BC9" s="236">
        <f t="shared" si="1"/>
        <v>0</v>
      </c>
      <c r="BD9" s="236">
        <f t="shared" si="1"/>
        <v>0</v>
      </c>
      <c r="BE9" s="236">
        <f t="shared" si="1"/>
        <v>0</v>
      </c>
      <c r="BF9" s="236">
        <f t="shared" si="1"/>
        <v>0</v>
      </c>
      <c r="BG9" s="236">
        <f t="shared" si="1"/>
        <v>0</v>
      </c>
      <c r="BH9" s="236">
        <f t="shared" si="1"/>
        <v>0</v>
      </c>
      <c r="BI9" s="236">
        <f t="shared" si="1"/>
        <v>0</v>
      </c>
      <c r="BJ9" s="236">
        <f t="shared" si="1"/>
        <v>0</v>
      </c>
      <c r="BK9" s="236">
        <f t="shared" si="1"/>
        <v>0</v>
      </c>
      <c r="BL9" s="236">
        <f t="shared" si="1"/>
        <v>0</v>
      </c>
      <c r="BM9" s="236">
        <f t="shared" si="1"/>
        <v>0</v>
      </c>
      <c r="BN9" s="236">
        <f t="shared" si="1"/>
        <v>0</v>
      </c>
      <c r="BO9" s="236">
        <f t="shared" si="1"/>
        <v>0</v>
      </c>
      <c r="BP9" s="236">
        <f t="shared" si="1"/>
        <v>0</v>
      </c>
      <c r="BQ9" s="236">
        <f t="shared" si="1"/>
        <v>0</v>
      </c>
      <c r="BR9" s="236">
        <f t="shared" si="1"/>
        <v>0</v>
      </c>
      <c r="BS9" s="236">
        <f t="shared" si="1"/>
        <v>0</v>
      </c>
      <c r="BT9" s="236">
        <f t="shared" si="1"/>
        <v>0</v>
      </c>
      <c r="BU9" s="236">
        <f t="shared" si="1"/>
        <v>0</v>
      </c>
      <c r="BV9" s="236">
        <f t="shared" si="1"/>
        <v>0</v>
      </c>
      <c r="BW9" s="236">
        <f t="shared" si="1"/>
        <v>0</v>
      </c>
      <c r="BX9" s="236">
        <f t="shared" si="1"/>
        <v>0</v>
      </c>
      <c r="BY9" s="236">
        <f t="shared" si="1"/>
        <v>0</v>
      </c>
      <c r="BZ9" s="236">
        <f t="shared" si="1"/>
        <v>0</v>
      </c>
      <c r="CA9" s="236">
        <f t="shared" si="1"/>
        <v>0</v>
      </c>
      <c r="CB9" s="236">
        <f t="shared" si="1"/>
        <v>0</v>
      </c>
      <c r="CC9" s="236">
        <f t="shared" si="1"/>
        <v>0</v>
      </c>
      <c r="CD9" s="236">
        <f t="shared" si="1"/>
        <v>0</v>
      </c>
      <c r="CE9" s="236">
        <f t="shared" si="1"/>
        <v>0</v>
      </c>
      <c r="CF9" s="236">
        <f t="shared" si="1"/>
        <v>0</v>
      </c>
      <c r="CG9" s="236">
        <f t="shared" si="1"/>
        <v>0</v>
      </c>
      <c r="CH9" s="236">
        <f t="shared" si="1"/>
        <v>0</v>
      </c>
      <c r="CI9" s="236">
        <f t="shared" si="1"/>
        <v>0</v>
      </c>
      <c r="CJ9" s="236">
        <f t="shared" si="1"/>
        <v>0</v>
      </c>
      <c r="CK9" s="236">
        <f t="shared" si="1"/>
        <v>0</v>
      </c>
      <c r="CL9" s="236">
        <f t="shared" si="1"/>
        <v>0</v>
      </c>
      <c r="CM9" s="236">
        <f t="shared" ref="CM9:DC9" si="2">IF(CM7=0,0,((CM6*0.293*CM8)/(1000*CM7)))</f>
        <v>0</v>
      </c>
      <c r="CN9" s="236">
        <f t="shared" si="2"/>
        <v>0</v>
      </c>
      <c r="CO9" s="236">
        <f t="shared" si="2"/>
        <v>0</v>
      </c>
      <c r="CP9" s="236">
        <f t="shared" si="2"/>
        <v>0</v>
      </c>
      <c r="CQ9" s="236">
        <f t="shared" si="2"/>
        <v>0</v>
      </c>
      <c r="CR9" s="236">
        <f t="shared" si="2"/>
        <v>0</v>
      </c>
      <c r="CS9" s="236">
        <f t="shared" si="2"/>
        <v>0</v>
      </c>
      <c r="CT9" s="236">
        <f t="shared" si="2"/>
        <v>0</v>
      </c>
      <c r="CU9" s="236">
        <f t="shared" si="2"/>
        <v>0</v>
      </c>
      <c r="CV9" s="236">
        <f t="shared" si="2"/>
        <v>0</v>
      </c>
      <c r="CW9" s="236">
        <f t="shared" si="2"/>
        <v>0</v>
      </c>
      <c r="CX9" s="236">
        <f t="shared" si="2"/>
        <v>0</v>
      </c>
      <c r="CY9" s="236">
        <f t="shared" si="2"/>
        <v>0</v>
      </c>
      <c r="CZ9" s="236">
        <f t="shared" si="2"/>
        <v>0</v>
      </c>
      <c r="DA9" s="236">
        <f t="shared" si="2"/>
        <v>0</v>
      </c>
      <c r="DB9" s="236">
        <f t="shared" si="2"/>
        <v>0</v>
      </c>
      <c r="DC9" s="236">
        <f t="shared" si="2"/>
        <v>0</v>
      </c>
    </row>
    <row r="10" spans="1:107" ht="15" customHeight="1" x14ac:dyDescent="0.25">
      <c r="B10" s="899">
        <v>7</v>
      </c>
      <c r="C10" s="225" t="s">
        <v>4317</v>
      </c>
      <c r="D10" s="225"/>
      <c r="E10" s="231"/>
      <c r="F10" s="232" t="s">
        <v>4318</v>
      </c>
      <c r="G10" s="237" t="str">
        <f>IF(COUNTA(H10:DC10)=0,"",IF(OR(LARGE(H10:DC10,1)&gt;1,SMALL(H10:DC10,1)&lt;0),"ERRO",""))</f>
        <v/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</row>
    <row r="11" spans="1:107" ht="15" customHeight="1" x14ac:dyDescent="0.25">
      <c r="B11" s="901"/>
      <c r="C11" s="225" t="s">
        <v>4459</v>
      </c>
      <c r="D11" s="225"/>
      <c r="E11" s="231" t="s">
        <v>3857</v>
      </c>
      <c r="F11" s="232" t="s">
        <v>4320</v>
      </c>
      <c r="G11" s="554">
        <f>SUM(H11:DC11)</f>
        <v>0</v>
      </c>
      <c r="H11" s="236">
        <f>H9*H10</f>
        <v>0</v>
      </c>
      <c r="I11" s="236">
        <f t="shared" ref="I11:Z11" si="3">I9*I10</f>
        <v>0</v>
      </c>
      <c r="J11" s="236">
        <f t="shared" si="3"/>
        <v>0</v>
      </c>
      <c r="K11" s="236">
        <f t="shared" si="3"/>
        <v>0</v>
      </c>
      <c r="L11" s="236">
        <f t="shared" si="3"/>
        <v>0</v>
      </c>
      <c r="M11" s="236">
        <f t="shared" si="3"/>
        <v>0</v>
      </c>
      <c r="N11" s="236">
        <f t="shared" si="3"/>
        <v>0</v>
      </c>
      <c r="O11" s="236">
        <f t="shared" si="3"/>
        <v>0</v>
      </c>
      <c r="P11" s="236">
        <f t="shared" si="3"/>
        <v>0</v>
      </c>
      <c r="Q11" s="236">
        <f t="shared" si="3"/>
        <v>0</v>
      </c>
      <c r="R11" s="236">
        <f t="shared" si="3"/>
        <v>0</v>
      </c>
      <c r="S11" s="236">
        <f t="shared" si="3"/>
        <v>0</v>
      </c>
      <c r="T11" s="236">
        <f t="shared" si="3"/>
        <v>0</v>
      </c>
      <c r="U11" s="236">
        <f t="shared" si="3"/>
        <v>0</v>
      </c>
      <c r="V11" s="236">
        <f t="shared" si="3"/>
        <v>0</v>
      </c>
      <c r="W11" s="236">
        <f t="shared" si="3"/>
        <v>0</v>
      </c>
      <c r="X11" s="236">
        <f t="shared" si="3"/>
        <v>0</v>
      </c>
      <c r="Y11" s="236">
        <f t="shared" si="3"/>
        <v>0</v>
      </c>
      <c r="Z11" s="236">
        <f t="shared" si="3"/>
        <v>0</v>
      </c>
      <c r="AA11" s="236">
        <f t="shared" ref="AA11:CL11" si="4">AA9*AA10</f>
        <v>0</v>
      </c>
      <c r="AB11" s="236">
        <f t="shared" si="4"/>
        <v>0</v>
      </c>
      <c r="AC11" s="236">
        <f t="shared" si="4"/>
        <v>0</v>
      </c>
      <c r="AD11" s="236">
        <f t="shared" si="4"/>
        <v>0</v>
      </c>
      <c r="AE11" s="236">
        <f t="shared" si="4"/>
        <v>0</v>
      </c>
      <c r="AF11" s="236">
        <f t="shared" si="4"/>
        <v>0</v>
      </c>
      <c r="AG11" s="236">
        <f t="shared" si="4"/>
        <v>0</v>
      </c>
      <c r="AH11" s="236">
        <f t="shared" si="4"/>
        <v>0</v>
      </c>
      <c r="AI11" s="236">
        <f t="shared" si="4"/>
        <v>0</v>
      </c>
      <c r="AJ11" s="236">
        <f t="shared" si="4"/>
        <v>0</v>
      </c>
      <c r="AK11" s="236">
        <f t="shared" si="4"/>
        <v>0</v>
      </c>
      <c r="AL11" s="236">
        <f t="shared" si="4"/>
        <v>0</v>
      </c>
      <c r="AM11" s="236">
        <f t="shared" si="4"/>
        <v>0</v>
      </c>
      <c r="AN11" s="236">
        <f t="shared" si="4"/>
        <v>0</v>
      </c>
      <c r="AO11" s="236">
        <f t="shared" si="4"/>
        <v>0</v>
      </c>
      <c r="AP11" s="236">
        <f t="shared" si="4"/>
        <v>0</v>
      </c>
      <c r="AQ11" s="236">
        <f t="shared" si="4"/>
        <v>0</v>
      </c>
      <c r="AR11" s="236">
        <f t="shared" si="4"/>
        <v>0</v>
      </c>
      <c r="AS11" s="236">
        <f t="shared" si="4"/>
        <v>0</v>
      </c>
      <c r="AT11" s="236">
        <f t="shared" si="4"/>
        <v>0</v>
      </c>
      <c r="AU11" s="236">
        <f t="shared" si="4"/>
        <v>0</v>
      </c>
      <c r="AV11" s="236">
        <f t="shared" si="4"/>
        <v>0</v>
      </c>
      <c r="AW11" s="236">
        <f t="shared" si="4"/>
        <v>0</v>
      </c>
      <c r="AX11" s="236">
        <f t="shared" si="4"/>
        <v>0</v>
      </c>
      <c r="AY11" s="236">
        <f t="shared" si="4"/>
        <v>0</v>
      </c>
      <c r="AZ11" s="236">
        <f t="shared" si="4"/>
        <v>0</v>
      </c>
      <c r="BA11" s="236">
        <f t="shared" si="4"/>
        <v>0</v>
      </c>
      <c r="BB11" s="236">
        <f t="shared" si="4"/>
        <v>0</v>
      </c>
      <c r="BC11" s="236">
        <f t="shared" si="4"/>
        <v>0</v>
      </c>
      <c r="BD11" s="236">
        <f t="shared" si="4"/>
        <v>0</v>
      </c>
      <c r="BE11" s="236">
        <f t="shared" si="4"/>
        <v>0</v>
      </c>
      <c r="BF11" s="236">
        <f t="shared" si="4"/>
        <v>0</v>
      </c>
      <c r="BG11" s="236">
        <f t="shared" si="4"/>
        <v>0</v>
      </c>
      <c r="BH11" s="236">
        <f t="shared" si="4"/>
        <v>0</v>
      </c>
      <c r="BI11" s="236">
        <f t="shared" si="4"/>
        <v>0</v>
      </c>
      <c r="BJ11" s="236">
        <f t="shared" si="4"/>
        <v>0</v>
      </c>
      <c r="BK11" s="236">
        <f t="shared" si="4"/>
        <v>0</v>
      </c>
      <c r="BL11" s="236">
        <f t="shared" si="4"/>
        <v>0</v>
      </c>
      <c r="BM11" s="236">
        <f t="shared" si="4"/>
        <v>0</v>
      </c>
      <c r="BN11" s="236">
        <f t="shared" si="4"/>
        <v>0</v>
      </c>
      <c r="BO11" s="236">
        <f t="shared" si="4"/>
        <v>0</v>
      </c>
      <c r="BP11" s="236">
        <f t="shared" si="4"/>
        <v>0</v>
      </c>
      <c r="BQ11" s="236">
        <f t="shared" si="4"/>
        <v>0</v>
      </c>
      <c r="BR11" s="236">
        <f t="shared" si="4"/>
        <v>0</v>
      </c>
      <c r="BS11" s="236">
        <f t="shared" si="4"/>
        <v>0</v>
      </c>
      <c r="BT11" s="236">
        <f t="shared" si="4"/>
        <v>0</v>
      </c>
      <c r="BU11" s="236">
        <f t="shared" si="4"/>
        <v>0</v>
      </c>
      <c r="BV11" s="236">
        <f t="shared" si="4"/>
        <v>0</v>
      </c>
      <c r="BW11" s="236">
        <f t="shared" si="4"/>
        <v>0</v>
      </c>
      <c r="BX11" s="236">
        <f t="shared" si="4"/>
        <v>0</v>
      </c>
      <c r="BY11" s="236">
        <f t="shared" si="4"/>
        <v>0</v>
      </c>
      <c r="BZ11" s="236">
        <f t="shared" si="4"/>
        <v>0</v>
      </c>
      <c r="CA11" s="236">
        <f t="shared" si="4"/>
        <v>0</v>
      </c>
      <c r="CB11" s="236">
        <f t="shared" si="4"/>
        <v>0</v>
      </c>
      <c r="CC11" s="236">
        <f t="shared" si="4"/>
        <v>0</v>
      </c>
      <c r="CD11" s="236">
        <f t="shared" si="4"/>
        <v>0</v>
      </c>
      <c r="CE11" s="236">
        <f t="shared" si="4"/>
        <v>0</v>
      </c>
      <c r="CF11" s="236">
        <f t="shared" si="4"/>
        <v>0</v>
      </c>
      <c r="CG11" s="236">
        <f t="shared" si="4"/>
        <v>0</v>
      </c>
      <c r="CH11" s="236">
        <f t="shared" si="4"/>
        <v>0</v>
      </c>
      <c r="CI11" s="236">
        <f t="shared" si="4"/>
        <v>0</v>
      </c>
      <c r="CJ11" s="236">
        <f t="shared" si="4"/>
        <v>0</v>
      </c>
      <c r="CK11" s="236">
        <f t="shared" si="4"/>
        <v>0</v>
      </c>
      <c r="CL11" s="236">
        <f t="shared" si="4"/>
        <v>0</v>
      </c>
      <c r="CM11" s="236">
        <f t="shared" ref="CM11:DC11" si="5">CM9*CM10</f>
        <v>0</v>
      </c>
      <c r="CN11" s="236">
        <f t="shared" si="5"/>
        <v>0</v>
      </c>
      <c r="CO11" s="236">
        <f t="shared" si="5"/>
        <v>0</v>
      </c>
      <c r="CP11" s="236">
        <f t="shared" si="5"/>
        <v>0</v>
      </c>
      <c r="CQ11" s="236">
        <f t="shared" si="5"/>
        <v>0</v>
      </c>
      <c r="CR11" s="236">
        <f t="shared" si="5"/>
        <v>0</v>
      </c>
      <c r="CS11" s="236">
        <f t="shared" si="5"/>
        <v>0</v>
      </c>
      <c r="CT11" s="236">
        <f t="shared" si="5"/>
        <v>0</v>
      </c>
      <c r="CU11" s="236">
        <f t="shared" si="5"/>
        <v>0</v>
      </c>
      <c r="CV11" s="236">
        <f t="shared" si="5"/>
        <v>0</v>
      </c>
      <c r="CW11" s="236">
        <f t="shared" si="5"/>
        <v>0</v>
      </c>
      <c r="CX11" s="236">
        <f t="shared" si="5"/>
        <v>0</v>
      </c>
      <c r="CY11" s="236">
        <f t="shared" si="5"/>
        <v>0</v>
      </c>
      <c r="CZ11" s="236">
        <f t="shared" si="5"/>
        <v>0</v>
      </c>
      <c r="DA11" s="236">
        <f t="shared" si="5"/>
        <v>0</v>
      </c>
      <c r="DB11" s="236">
        <f t="shared" si="5"/>
        <v>0</v>
      </c>
      <c r="DC11" s="236">
        <f t="shared" si="5"/>
        <v>0</v>
      </c>
    </row>
    <row r="12" spans="1:107" ht="15" customHeight="1" x14ac:dyDescent="0.25">
      <c r="B12" s="899">
        <v>8</v>
      </c>
      <c r="C12" s="225" t="s">
        <v>4207</v>
      </c>
      <c r="D12" s="225"/>
      <c r="E12" s="231" t="s">
        <v>4208</v>
      </c>
      <c r="F12" s="232"/>
      <c r="G12" s="237" t="str">
        <f>IF(COUNTA(H12:DC12)=0,"",IF(OR(LARGE(H12:DC12,1)&gt;24,SMALL(H12:DC12,1)&lt;0),"ERRO",""))</f>
        <v/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</row>
    <row r="13" spans="1:107" ht="15" customHeight="1" x14ac:dyDescent="0.25">
      <c r="B13" s="900"/>
      <c r="C13" s="239" t="s">
        <v>4209</v>
      </c>
      <c r="D13" s="239"/>
      <c r="E13" s="558" t="s">
        <v>4210</v>
      </c>
      <c r="F13" s="232"/>
      <c r="G13" s="237" t="str">
        <f>IF(COUNTA(H13:DC13)=0,"",IF(OR(LARGE(H13:DC13,1)&gt;365,SMALL(H13:DC13,1)&lt;0),"ERRO",""))</f>
        <v/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07" ht="15" customHeight="1" x14ac:dyDescent="0.25">
      <c r="B14" s="901"/>
      <c r="C14" s="225" t="s">
        <v>4211</v>
      </c>
      <c r="D14" s="225"/>
      <c r="E14" s="231" t="s">
        <v>4212</v>
      </c>
      <c r="F14" s="232" t="s">
        <v>4213</v>
      </c>
      <c r="G14" s="237" t="str">
        <f>IF(COUNTA(H14:DC14)=0,"",IF(OR(LARGE(H14:DC14,1)&gt;8760,SMALL(H14:DC14,1)&lt;0),"ERRO",""))</f>
        <v/>
      </c>
      <c r="H14" s="241">
        <f>H12*H13</f>
        <v>0</v>
      </c>
      <c r="I14" s="241">
        <f t="shared" ref="I14:Z14" si="6">I12*I13</f>
        <v>0</v>
      </c>
      <c r="J14" s="241">
        <f t="shared" si="6"/>
        <v>0</v>
      </c>
      <c r="K14" s="241">
        <f t="shared" si="6"/>
        <v>0</v>
      </c>
      <c r="L14" s="241">
        <f t="shared" si="6"/>
        <v>0</v>
      </c>
      <c r="M14" s="241">
        <f t="shared" si="6"/>
        <v>0</v>
      </c>
      <c r="N14" s="241">
        <f t="shared" si="6"/>
        <v>0</v>
      </c>
      <c r="O14" s="241">
        <f t="shared" si="6"/>
        <v>0</v>
      </c>
      <c r="P14" s="241">
        <f t="shared" si="6"/>
        <v>0</v>
      </c>
      <c r="Q14" s="241">
        <f t="shared" si="6"/>
        <v>0</v>
      </c>
      <c r="R14" s="241">
        <f t="shared" si="6"/>
        <v>0</v>
      </c>
      <c r="S14" s="241">
        <f t="shared" si="6"/>
        <v>0</v>
      </c>
      <c r="T14" s="241">
        <f t="shared" si="6"/>
        <v>0</v>
      </c>
      <c r="U14" s="241">
        <f t="shared" si="6"/>
        <v>0</v>
      </c>
      <c r="V14" s="241">
        <f t="shared" si="6"/>
        <v>0</v>
      </c>
      <c r="W14" s="241">
        <f t="shared" si="6"/>
        <v>0</v>
      </c>
      <c r="X14" s="241">
        <f t="shared" si="6"/>
        <v>0</v>
      </c>
      <c r="Y14" s="241">
        <f t="shared" si="6"/>
        <v>0</v>
      </c>
      <c r="Z14" s="241">
        <f t="shared" si="6"/>
        <v>0</v>
      </c>
      <c r="AA14" s="241">
        <f t="shared" ref="AA14:CL14" si="7">AA12*AA13</f>
        <v>0</v>
      </c>
      <c r="AB14" s="241">
        <f t="shared" si="7"/>
        <v>0</v>
      </c>
      <c r="AC14" s="241">
        <f t="shared" si="7"/>
        <v>0</v>
      </c>
      <c r="AD14" s="241">
        <f t="shared" si="7"/>
        <v>0</v>
      </c>
      <c r="AE14" s="241">
        <f t="shared" si="7"/>
        <v>0</v>
      </c>
      <c r="AF14" s="241">
        <f t="shared" si="7"/>
        <v>0</v>
      </c>
      <c r="AG14" s="241">
        <f t="shared" si="7"/>
        <v>0</v>
      </c>
      <c r="AH14" s="241">
        <f t="shared" si="7"/>
        <v>0</v>
      </c>
      <c r="AI14" s="241">
        <f t="shared" si="7"/>
        <v>0</v>
      </c>
      <c r="AJ14" s="241">
        <f t="shared" si="7"/>
        <v>0</v>
      </c>
      <c r="AK14" s="241">
        <f t="shared" si="7"/>
        <v>0</v>
      </c>
      <c r="AL14" s="241">
        <f t="shared" si="7"/>
        <v>0</v>
      </c>
      <c r="AM14" s="241">
        <f t="shared" si="7"/>
        <v>0</v>
      </c>
      <c r="AN14" s="241">
        <f t="shared" si="7"/>
        <v>0</v>
      </c>
      <c r="AO14" s="241">
        <f t="shared" si="7"/>
        <v>0</v>
      </c>
      <c r="AP14" s="241">
        <f t="shared" si="7"/>
        <v>0</v>
      </c>
      <c r="AQ14" s="241">
        <f t="shared" si="7"/>
        <v>0</v>
      </c>
      <c r="AR14" s="241">
        <f t="shared" si="7"/>
        <v>0</v>
      </c>
      <c r="AS14" s="241">
        <f t="shared" si="7"/>
        <v>0</v>
      </c>
      <c r="AT14" s="241">
        <f t="shared" si="7"/>
        <v>0</v>
      </c>
      <c r="AU14" s="241">
        <f t="shared" si="7"/>
        <v>0</v>
      </c>
      <c r="AV14" s="241">
        <f t="shared" si="7"/>
        <v>0</v>
      </c>
      <c r="AW14" s="241">
        <f t="shared" si="7"/>
        <v>0</v>
      </c>
      <c r="AX14" s="241">
        <f t="shared" si="7"/>
        <v>0</v>
      </c>
      <c r="AY14" s="241">
        <f t="shared" si="7"/>
        <v>0</v>
      </c>
      <c r="AZ14" s="241">
        <f t="shared" si="7"/>
        <v>0</v>
      </c>
      <c r="BA14" s="241">
        <f t="shared" si="7"/>
        <v>0</v>
      </c>
      <c r="BB14" s="241">
        <f t="shared" si="7"/>
        <v>0</v>
      </c>
      <c r="BC14" s="241">
        <f t="shared" si="7"/>
        <v>0</v>
      </c>
      <c r="BD14" s="241">
        <f t="shared" si="7"/>
        <v>0</v>
      </c>
      <c r="BE14" s="241">
        <f t="shared" si="7"/>
        <v>0</v>
      </c>
      <c r="BF14" s="241">
        <f t="shared" si="7"/>
        <v>0</v>
      </c>
      <c r="BG14" s="241">
        <f t="shared" si="7"/>
        <v>0</v>
      </c>
      <c r="BH14" s="241">
        <f t="shared" si="7"/>
        <v>0</v>
      </c>
      <c r="BI14" s="241">
        <f t="shared" si="7"/>
        <v>0</v>
      </c>
      <c r="BJ14" s="241">
        <f t="shared" si="7"/>
        <v>0</v>
      </c>
      <c r="BK14" s="241">
        <f t="shared" si="7"/>
        <v>0</v>
      </c>
      <c r="BL14" s="241">
        <f t="shared" si="7"/>
        <v>0</v>
      </c>
      <c r="BM14" s="241">
        <f t="shared" si="7"/>
        <v>0</v>
      </c>
      <c r="BN14" s="241">
        <f t="shared" si="7"/>
        <v>0</v>
      </c>
      <c r="BO14" s="241">
        <f t="shared" si="7"/>
        <v>0</v>
      </c>
      <c r="BP14" s="241">
        <f t="shared" si="7"/>
        <v>0</v>
      </c>
      <c r="BQ14" s="241">
        <f t="shared" si="7"/>
        <v>0</v>
      </c>
      <c r="BR14" s="241">
        <f t="shared" si="7"/>
        <v>0</v>
      </c>
      <c r="BS14" s="241">
        <f t="shared" si="7"/>
        <v>0</v>
      </c>
      <c r="BT14" s="241">
        <f t="shared" si="7"/>
        <v>0</v>
      </c>
      <c r="BU14" s="241">
        <f t="shared" si="7"/>
        <v>0</v>
      </c>
      <c r="BV14" s="241">
        <f t="shared" si="7"/>
        <v>0</v>
      </c>
      <c r="BW14" s="241">
        <f t="shared" si="7"/>
        <v>0</v>
      </c>
      <c r="BX14" s="241">
        <f t="shared" si="7"/>
        <v>0</v>
      </c>
      <c r="BY14" s="241">
        <f t="shared" si="7"/>
        <v>0</v>
      </c>
      <c r="BZ14" s="241">
        <f t="shared" si="7"/>
        <v>0</v>
      </c>
      <c r="CA14" s="241">
        <f t="shared" si="7"/>
        <v>0</v>
      </c>
      <c r="CB14" s="241">
        <f t="shared" si="7"/>
        <v>0</v>
      </c>
      <c r="CC14" s="241">
        <f t="shared" si="7"/>
        <v>0</v>
      </c>
      <c r="CD14" s="241">
        <f t="shared" si="7"/>
        <v>0</v>
      </c>
      <c r="CE14" s="241">
        <f t="shared" si="7"/>
        <v>0</v>
      </c>
      <c r="CF14" s="241">
        <f t="shared" si="7"/>
        <v>0</v>
      </c>
      <c r="CG14" s="241">
        <f t="shared" si="7"/>
        <v>0</v>
      </c>
      <c r="CH14" s="241">
        <f t="shared" si="7"/>
        <v>0</v>
      </c>
      <c r="CI14" s="241">
        <f t="shared" si="7"/>
        <v>0</v>
      </c>
      <c r="CJ14" s="241">
        <f t="shared" si="7"/>
        <v>0</v>
      </c>
      <c r="CK14" s="241">
        <f t="shared" si="7"/>
        <v>0</v>
      </c>
      <c r="CL14" s="241">
        <f t="shared" si="7"/>
        <v>0</v>
      </c>
      <c r="CM14" s="241">
        <f t="shared" ref="CM14:DC14" si="8">CM12*CM13</f>
        <v>0</v>
      </c>
      <c r="CN14" s="241">
        <f t="shared" si="8"/>
        <v>0</v>
      </c>
      <c r="CO14" s="241">
        <f t="shared" si="8"/>
        <v>0</v>
      </c>
      <c r="CP14" s="241">
        <f t="shared" si="8"/>
        <v>0</v>
      </c>
      <c r="CQ14" s="241">
        <f t="shared" si="8"/>
        <v>0</v>
      </c>
      <c r="CR14" s="241">
        <f t="shared" si="8"/>
        <v>0</v>
      </c>
      <c r="CS14" s="241">
        <f t="shared" si="8"/>
        <v>0</v>
      </c>
      <c r="CT14" s="241">
        <f t="shared" si="8"/>
        <v>0</v>
      </c>
      <c r="CU14" s="241">
        <f t="shared" si="8"/>
        <v>0</v>
      </c>
      <c r="CV14" s="241">
        <f t="shared" si="8"/>
        <v>0</v>
      </c>
      <c r="CW14" s="241">
        <f t="shared" si="8"/>
        <v>0</v>
      </c>
      <c r="CX14" s="241">
        <f t="shared" si="8"/>
        <v>0</v>
      </c>
      <c r="CY14" s="241">
        <f t="shared" si="8"/>
        <v>0</v>
      </c>
      <c r="CZ14" s="241">
        <f t="shared" si="8"/>
        <v>0</v>
      </c>
      <c r="DA14" s="241">
        <f t="shared" si="8"/>
        <v>0</v>
      </c>
      <c r="DB14" s="241">
        <f t="shared" si="8"/>
        <v>0</v>
      </c>
      <c r="DC14" s="241">
        <f t="shared" si="8"/>
        <v>0</v>
      </c>
    </row>
    <row r="15" spans="1:107" ht="15" customHeight="1" x14ac:dyDescent="0.25">
      <c r="B15" s="899">
        <v>9</v>
      </c>
      <c r="C15" s="225" t="s">
        <v>4214</v>
      </c>
      <c r="D15" s="225"/>
      <c r="E15" s="231" t="s">
        <v>4208</v>
      </c>
      <c r="F15" s="232" t="s">
        <v>4215</v>
      </c>
      <c r="G15" s="237" t="str">
        <f>IF(COUNTA(H15:DC15)=0,"",IF(OR(LARGE(H15:DC15,1)&gt;3,SMALL(H15:DC15,1)&lt;0),"ERRO",""))</f>
        <v/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</row>
    <row r="16" spans="1:107" ht="15" customHeight="1" x14ac:dyDescent="0.25">
      <c r="B16" s="900"/>
      <c r="C16" s="225" t="s">
        <v>4216</v>
      </c>
      <c r="D16" s="225"/>
      <c r="E16" s="226" t="s">
        <v>4217</v>
      </c>
      <c r="F16" s="232" t="s">
        <v>4218</v>
      </c>
      <c r="G16" s="237" t="str">
        <f>IF(COUNTA(H16:DC16)=0,"",IF(OR(LARGE(H16:DC16,1)&gt;22,SMALL(H16:DC16,1)&lt;0),"ERRO",""))</f>
        <v/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</row>
    <row r="17" spans="2:107" ht="15" customHeight="1" x14ac:dyDescent="0.25">
      <c r="B17" s="900"/>
      <c r="C17" s="225" t="s">
        <v>4219</v>
      </c>
      <c r="D17" s="225"/>
      <c r="E17" s="226" t="s">
        <v>4220</v>
      </c>
      <c r="F17" s="232" t="s">
        <v>4221</v>
      </c>
      <c r="G17" s="237" t="str">
        <f>IF(COUNTA(H17:DC17)=0,"",IF(OR(LARGE(H17:DC17,1)&gt;12,SMALL(H17:DC17,1)&lt;0),"ERRO",""))</f>
        <v/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</row>
    <row r="18" spans="2:107" ht="15" customHeight="1" x14ac:dyDescent="0.25">
      <c r="B18" s="900"/>
      <c r="C18" s="225" t="s">
        <v>4222</v>
      </c>
      <c r="D18" s="225"/>
      <c r="E18" s="231" t="s">
        <v>3857</v>
      </c>
      <c r="F18" s="232" t="s">
        <v>4223</v>
      </c>
      <c r="G18" s="554">
        <f>SUM(H18:DC18)</f>
        <v>0</v>
      </c>
      <c r="H18" s="236">
        <f>H11*((H15*H16*H17)/792)</f>
        <v>0</v>
      </c>
      <c r="I18" s="236">
        <f t="shared" ref="I18:Z18" si="9">I11*((I15*I16*I17)/792)</f>
        <v>0</v>
      </c>
      <c r="J18" s="236">
        <f t="shared" si="9"/>
        <v>0</v>
      </c>
      <c r="K18" s="236">
        <f t="shared" si="9"/>
        <v>0</v>
      </c>
      <c r="L18" s="236">
        <f t="shared" si="9"/>
        <v>0</v>
      </c>
      <c r="M18" s="236">
        <f t="shared" si="9"/>
        <v>0</v>
      </c>
      <c r="N18" s="236">
        <f t="shared" si="9"/>
        <v>0</v>
      </c>
      <c r="O18" s="236">
        <f t="shared" si="9"/>
        <v>0</v>
      </c>
      <c r="P18" s="236">
        <f t="shared" si="9"/>
        <v>0</v>
      </c>
      <c r="Q18" s="236">
        <f t="shared" si="9"/>
        <v>0</v>
      </c>
      <c r="R18" s="236">
        <f t="shared" si="9"/>
        <v>0</v>
      </c>
      <c r="S18" s="236">
        <f t="shared" si="9"/>
        <v>0</v>
      </c>
      <c r="T18" s="236">
        <f t="shared" si="9"/>
        <v>0</v>
      </c>
      <c r="U18" s="236">
        <f t="shared" si="9"/>
        <v>0</v>
      </c>
      <c r="V18" s="236">
        <f t="shared" si="9"/>
        <v>0</v>
      </c>
      <c r="W18" s="236">
        <f t="shared" si="9"/>
        <v>0</v>
      </c>
      <c r="X18" s="236">
        <f t="shared" si="9"/>
        <v>0</v>
      </c>
      <c r="Y18" s="236">
        <f t="shared" si="9"/>
        <v>0</v>
      </c>
      <c r="Z18" s="236">
        <f t="shared" si="9"/>
        <v>0</v>
      </c>
      <c r="AA18" s="236">
        <f t="shared" ref="AA18:CL18" si="10">AA11*((AA15*AA16*AA17)/792)</f>
        <v>0</v>
      </c>
      <c r="AB18" s="236">
        <f t="shared" si="10"/>
        <v>0</v>
      </c>
      <c r="AC18" s="236">
        <f t="shared" si="10"/>
        <v>0</v>
      </c>
      <c r="AD18" s="236">
        <f t="shared" si="10"/>
        <v>0</v>
      </c>
      <c r="AE18" s="236">
        <f t="shared" si="10"/>
        <v>0</v>
      </c>
      <c r="AF18" s="236">
        <f t="shared" si="10"/>
        <v>0</v>
      </c>
      <c r="AG18" s="236">
        <f t="shared" si="10"/>
        <v>0</v>
      </c>
      <c r="AH18" s="236">
        <f t="shared" si="10"/>
        <v>0</v>
      </c>
      <c r="AI18" s="236">
        <f t="shared" si="10"/>
        <v>0</v>
      </c>
      <c r="AJ18" s="236">
        <f t="shared" si="10"/>
        <v>0</v>
      </c>
      <c r="AK18" s="236">
        <f t="shared" si="10"/>
        <v>0</v>
      </c>
      <c r="AL18" s="236">
        <f t="shared" si="10"/>
        <v>0</v>
      </c>
      <c r="AM18" s="236">
        <f t="shared" si="10"/>
        <v>0</v>
      </c>
      <c r="AN18" s="236">
        <f t="shared" si="10"/>
        <v>0</v>
      </c>
      <c r="AO18" s="236">
        <f t="shared" si="10"/>
        <v>0</v>
      </c>
      <c r="AP18" s="236">
        <f t="shared" si="10"/>
        <v>0</v>
      </c>
      <c r="AQ18" s="236">
        <f t="shared" si="10"/>
        <v>0</v>
      </c>
      <c r="AR18" s="236">
        <f t="shared" si="10"/>
        <v>0</v>
      </c>
      <c r="AS18" s="236">
        <f t="shared" si="10"/>
        <v>0</v>
      </c>
      <c r="AT18" s="236">
        <f t="shared" si="10"/>
        <v>0</v>
      </c>
      <c r="AU18" s="236">
        <f t="shared" si="10"/>
        <v>0</v>
      </c>
      <c r="AV18" s="236">
        <f t="shared" si="10"/>
        <v>0</v>
      </c>
      <c r="AW18" s="236">
        <f t="shared" si="10"/>
        <v>0</v>
      </c>
      <c r="AX18" s="236">
        <f t="shared" si="10"/>
        <v>0</v>
      </c>
      <c r="AY18" s="236">
        <f t="shared" si="10"/>
        <v>0</v>
      </c>
      <c r="AZ18" s="236">
        <f t="shared" si="10"/>
        <v>0</v>
      </c>
      <c r="BA18" s="236">
        <f t="shared" si="10"/>
        <v>0</v>
      </c>
      <c r="BB18" s="236">
        <f t="shared" si="10"/>
        <v>0</v>
      </c>
      <c r="BC18" s="236">
        <f t="shared" si="10"/>
        <v>0</v>
      </c>
      <c r="BD18" s="236">
        <f t="shared" si="10"/>
        <v>0</v>
      </c>
      <c r="BE18" s="236">
        <f t="shared" si="10"/>
        <v>0</v>
      </c>
      <c r="BF18" s="236">
        <f t="shared" si="10"/>
        <v>0</v>
      </c>
      <c r="BG18" s="236">
        <f t="shared" si="10"/>
        <v>0</v>
      </c>
      <c r="BH18" s="236">
        <f t="shared" si="10"/>
        <v>0</v>
      </c>
      <c r="BI18" s="236">
        <f t="shared" si="10"/>
        <v>0</v>
      </c>
      <c r="BJ18" s="236">
        <f t="shared" si="10"/>
        <v>0</v>
      </c>
      <c r="BK18" s="236">
        <f t="shared" si="10"/>
        <v>0</v>
      </c>
      <c r="BL18" s="236">
        <f t="shared" si="10"/>
        <v>0</v>
      </c>
      <c r="BM18" s="236">
        <f t="shared" si="10"/>
        <v>0</v>
      </c>
      <c r="BN18" s="236">
        <f t="shared" si="10"/>
        <v>0</v>
      </c>
      <c r="BO18" s="236">
        <f t="shared" si="10"/>
        <v>0</v>
      </c>
      <c r="BP18" s="236">
        <f t="shared" si="10"/>
        <v>0</v>
      </c>
      <c r="BQ18" s="236">
        <f t="shared" si="10"/>
        <v>0</v>
      </c>
      <c r="BR18" s="236">
        <f t="shared" si="10"/>
        <v>0</v>
      </c>
      <c r="BS18" s="236">
        <f t="shared" si="10"/>
        <v>0</v>
      </c>
      <c r="BT18" s="236">
        <f t="shared" si="10"/>
        <v>0</v>
      </c>
      <c r="BU18" s="236">
        <f t="shared" si="10"/>
        <v>0</v>
      </c>
      <c r="BV18" s="236">
        <f t="shared" si="10"/>
        <v>0</v>
      </c>
      <c r="BW18" s="236">
        <f t="shared" si="10"/>
        <v>0</v>
      </c>
      <c r="BX18" s="236">
        <f t="shared" si="10"/>
        <v>0</v>
      </c>
      <c r="BY18" s="236">
        <f t="shared" si="10"/>
        <v>0</v>
      </c>
      <c r="BZ18" s="236">
        <f t="shared" si="10"/>
        <v>0</v>
      </c>
      <c r="CA18" s="236">
        <f t="shared" si="10"/>
        <v>0</v>
      </c>
      <c r="CB18" s="236">
        <f t="shared" si="10"/>
        <v>0</v>
      </c>
      <c r="CC18" s="236">
        <f t="shared" si="10"/>
        <v>0</v>
      </c>
      <c r="CD18" s="236">
        <f t="shared" si="10"/>
        <v>0</v>
      </c>
      <c r="CE18" s="236">
        <f t="shared" si="10"/>
        <v>0</v>
      </c>
      <c r="CF18" s="236">
        <f t="shared" si="10"/>
        <v>0</v>
      </c>
      <c r="CG18" s="236">
        <f t="shared" si="10"/>
        <v>0</v>
      </c>
      <c r="CH18" s="236">
        <f t="shared" si="10"/>
        <v>0</v>
      </c>
      <c r="CI18" s="236">
        <f t="shared" si="10"/>
        <v>0</v>
      </c>
      <c r="CJ18" s="236">
        <f t="shared" si="10"/>
        <v>0</v>
      </c>
      <c r="CK18" s="236">
        <f t="shared" si="10"/>
        <v>0</v>
      </c>
      <c r="CL18" s="236">
        <f t="shared" si="10"/>
        <v>0</v>
      </c>
      <c r="CM18" s="236">
        <f t="shared" ref="CM18:DC18" si="11">CM11*((CM15*CM16*CM17)/792)</f>
        <v>0</v>
      </c>
      <c r="CN18" s="236">
        <f t="shared" si="11"/>
        <v>0</v>
      </c>
      <c r="CO18" s="236">
        <f t="shared" si="11"/>
        <v>0</v>
      </c>
      <c r="CP18" s="236">
        <f t="shared" si="11"/>
        <v>0</v>
      </c>
      <c r="CQ18" s="236">
        <f t="shared" si="11"/>
        <v>0</v>
      </c>
      <c r="CR18" s="236">
        <f t="shared" si="11"/>
        <v>0</v>
      </c>
      <c r="CS18" s="236">
        <f t="shared" si="11"/>
        <v>0</v>
      </c>
      <c r="CT18" s="236">
        <f t="shared" si="11"/>
        <v>0</v>
      </c>
      <c r="CU18" s="236">
        <f t="shared" si="11"/>
        <v>0</v>
      </c>
      <c r="CV18" s="236">
        <f t="shared" si="11"/>
        <v>0</v>
      </c>
      <c r="CW18" s="236">
        <f t="shared" si="11"/>
        <v>0</v>
      </c>
      <c r="CX18" s="236">
        <f t="shared" si="11"/>
        <v>0</v>
      </c>
      <c r="CY18" s="236">
        <f t="shared" si="11"/>
        <v>0</v>
      </c>
      <c r="CZ18" s="236">
        <f t="shared" si="11"/>
        <v>0</v>
      </c>
      <c r="DA18" s="236">
        <f t="shared" si="11"/>
        <v>0</v>
      </c>
      <c r="DB18" s="236">
        <f t="shared" si="11"/>
        <v>0</v>
      </c>
      <c r="DC18" s="236">
        <f t="shared" si="11"/>
        <v>0</v>
      </c>
    </row>
    <row r="19" spans="2:107" ht="15" customHeight="1" x14ac:dyDescent="0.25">
      <c r="B19" s="901"/>
      <c r="C19" s="225" t="s">
        <v>4224</v>
      </c>
      <c r="D19" s="225"/>
      <c r="E19" s="225"/>
      <c r="F19" s="232" t="s">
        <v>4225</v>
      </c>
      <c r="G19" s="237" t="str">
        <f>IF(COUNTA(H19:DC19)=0,"",IF(OR(LARGE(H19:DC19,1)&gt;1,SMALL(H19:DC19,1)&lt;0),"ERRO",""))</f>
        <v/>
      </c>
      <c r="H19" s="242">
        <f>IF(H11=0,0,H18/H11)</f>
        <v>0</v>
      </c>
      <c r="I19" s="242">
        <f t="shared" ref="I19:Z19" si="12">IF(I11=0,0,I18/I11)</f>
        <v>0</v>
      </c>
      <c r="J19" s="242">
        <f t="shared" si="12"/>
        <v>0</v>
      </c>
      <c r="K19" s="242">
        <f t="shared" si="12"/>
        <v>0</v>
      </c>
      <c r="L19" s="242">
        <f t="shared" si="12"/>
        <v>0</v>
      </c>
      <c r="M19" s="242">
        <f t="shared" si="12"/>
        <v>0</v>
      </c>
      <c r="N19" s="242">
        <f t="shared" si="12"/>
        <v>0</v>
      </c>
      <c r="O19" s="242">
        <f t="shared" si="12"/>
        <v>0</v>
      </c>
      <c r="P19" s="242">
        <f t="shared" si="12"/>
        <v>0</v>
      </c>
      <c r="Q19" s="242">
        <f t="shared" si="12"/>
        <v>0</v>
      </c>
      <c r="R19" s="242">
        <f t="shared" si="12"/>
        <v>0</v>
      </c>
      <c r="S19" s="242">
        <f t="shared" si="12"/>
        <v>0</v>
      </c>
      <c r="T19" s="242">
        <f t="shared" si="12"/>
        <v>0</v>
      </c>
      <c r="U19" s="242">
        <f t="shared" si="12"/>
        <v>0</v>
      </c>
      <c r="V19" s="242">
        <f t="shared" si="12"/>
        <v>0</v>
      </c>
      <c r="W19" s="242">
        <f t="shared" si="12"/>
        <v>0</v>
      </c>
      <c r="X19" s="242">
        <f t="shared" si="12"/>
        <v>0</v>
      </c>
      <c r="Y19" s="242">
        <f t="shared" si="12"/>
        <v>0</v>
      </c>
      <c r="Z19" s="242">
        <f t="shared" si="12"/>
        <v>0</v>
      </c>
      <c r="AA19" s="242">
        <f t="shared" ref="AA19:CL19" si="13">IF(AA11=0,0,AA18/AA11)</f>
        <v>0</v>
      </c>
      <c r="AB19" s="242">
        <f t="shared" si="13"/>
        <v>0</v>
      </c>
      <c r="AC19" s="242">
        <f t="shared" si="13"/>
        <v>0</v>
      </c>
      <c r="AD19" s="242">
        <f t="shared" si="13"/>
        <v>0</v>
      </c>
      <c r="AE19" s="242">
        <f t="shared" si="13"/>
        <v>0</v>
      </c>
      <c r="AF19" s="242">
        <f t="shared" si="13"/>
        <v>0</v>
      </c>
      <c r="AG19" s="242">
        <f t="shared" si="13"/>
        <v>0</v>
      </c>
      <c r="AH19" s="242">
        <f t="shared" si="13"/>
        <v>0</v>
      </c>
      <c r="AI19" s="242">
        <f t="shared" si="13"/>
        <v>0</v>
      </c>
      <c r="AJ19" s="242">
        <f t="shared" si="13"/>
        <v>0</v>
      </c>
      <c r="AK19" s="242">
        <f t="shared" si="13"/>
        <v>0</v>
      </c>
      <c r="AL19" s="242">
        <f t="shared" si="13"/>
        <v>0</v>
      </c>
      <c r="AM19" s="242">
        <f t="shared" si="13"/>
        <v>0</v>
      </c>
      <c r="AN19" s="242">
        <f t="shared" si="13"/>
        <v>0</v>
      </c>
      <c r="AO19" s="242">
        <f t="shared" si="13"/>
        <v>0</v>
      </c>
      <c r="AP19" s="242">
        <f t="shared" si="13"/>
        <v>0</v>
      </c>
      <c r="AQ19" s="242">
        <f t="shared" si="13"/>
        <v>0</v>
      </c>
      <c r="AR19" s="242">
        <f t="shared" si="13"/>
        <v>0</v>
      </c>
      <c r="AS19" s="242">
        <f t="shared" si="13"/>
        <v>0</v>
      </c>
      <c r="AT19" s="242">
        <f t="shared" si="13"/>
        <v>0</v>
      </c>
      <c r="AU19" s="242">
        <f t="shared" si="13"/>
        <v>0</v>
      </c>
      <c r="AV19" s="242">
        <f t="shared" si="13"/>
        <v>0</v>
      </c>
      <c r="AW19" s="242">
        <f t="shared" si="13"/>
        <v>0</v>
      </c>
      <c r="AX19" s="242">
        <f t="shared" si="13"/>
        <v>0</v>
      </c>
      <c r="AY19" s="242">
        <f t="shared" si="13"/>
        <v>0</v>
      </c>
      <c r="AZ19" s="242">
        <f t="shared" si="13"/>
        <v>0</v>
      </c>
      <c r="BA19" s="242">
        <f t="shared" si="13"/>
        <v>0</v>
      </c>
      <c r="BB19" s="242">
        <f t="shared" si="13"/>
        <v>0</v>
      </c>
      <c r="BC19" s="242">
        <f t="shared" si="13"/>
        <v>0</v>
      </c>
      <c r="BD19" s="242">
        <f t="shared" si="13"/>
        <v>0</v>
      </c>
      <c r="BE19" s="242">
        <f t="shared" si="13"/>
        <v>0</v>
      </c>
      <c r="BF19" s="242">
        <f t="shared" si="13"/>
        <v>0</v>
      </c>
      <c r="BG19" s="242">
        <f t="shared" si="13"/>
        <v>0</v>
      </c>
      <c r="BH19" s="242">
        <f t="shared" si="13"/>
        <v>0</v>
      </c>
      <c r="BI19" s="242">
        <f t="shared" si="13"/>
        <v>0</v>
      </c>
      <c r="BJ19" s="242">
        <f t="shared" si="13"/>
        <v>0</v>
      </c>
      <c r="BK19" s="242">
        <f t="shared" si="13"/>
        <v>0</v>
      </c>
      <c r="BL19" s="242">
        <f t="shared" si="13"/>
        <v>0</v>
      </c>
      <c r="BM19" s="242">
        <f t="shared" si="13"/>
        <v>0</v>
      </c>
      <c r="BN19" s="242">
        <f t="shared" si="13"/>
        <v>0</v>
      </c>
      <c r="BO19" s="242">
        <f t="shared" si="13"/>
        <v>0</v>
      </c>
      <c r="BP19" s="242">
        <f t="shared" si="13"/>
        <v>0</v>
      </c>
      <c r="BQ19" s="242">
        <f t="shared" si="13"/>
        <v>0</v>
      </c>
      <c r="BR19" s="242">
        <f t="shared" si="13"/>
        <v>0</v>
      </c>
      <c r="BS19" s="242">
        <f t="shared" si="13"/>
        <v>0</v>
      </c>
      <c r="BT19" s="242">
        <f t="shared" si="13"/>
        <v>0</v>
      </c>
      <c r="BU19" s="242">
        <f t="shared" si="13"/>
        <v>0</v>
      </c>
      <c r="BV19" s="242">
        <f t="shared" si="13"/>
        <v>0</v>
      </c>
      <c r="BW19" s="242">
        <f t="shared" si="13"/>
        <v>0</v>
      </c>
      <c r="BX19" s="242">
        <f t="shared" si="13"/>
        <v>0</v>
      </c>
      <c r="BY19" s="242">
        <f t="shared" si="13"/>
        <v>0</v>
      </c>
      <c r="BZ19" s="242">
        <f t="shared" si="13"/>
        <v>0</v>
      </c>
      <c r="CA19" s="242">
        <f t="shared" si="13"/>
        <v>0</v>
      </c>
      <c r="CB19" s="242">
        <f t="shared" si="13"/>
        <v>0</v>
      </c>
      <c r="CC19" s="242">
        <f t="shared" si="13"/>
        <v>0</v>
      </c>
      <c r="CD19" s="242">
        <f t="shared" si="13"/>
        <v>0</v>
      </c>
      <c r="CE19" s="242">
        <f t="shared" si="13"/>
        <v>0</v>
      </c>
      <c r="CF19" s="242">
        <f t="shared" si="13"/>
        <v>0</v>
      </c>
      <c r="CG19" s="242">
        <f t="shared" si="13"/>
        <v>0</v>
      </c>
      <c r="CH19" s="242">
        <f t="shared" si="13"/>
        <v>0</v>
      </c>
      <c r="CI19" s="242">
        <f t="shared" si="13"/>
        <v>0</v>
      </c>
      <c r="CJ19" s="242">
        <f t="shared" si="13"/>
        <v>0</v>
      </c>
      <c r="CK19" s="242">
        <f t="shared" si="13"/>
        <v>0</v>
      </c>
      <c r="CL19" s="242">
        <f t="shared" si="13"/>
        <v>0</v>
      </c>
      <c r="CM19" s="242">
        <f t="shared" ref="CM19:DC19" si="14">IF(CM11=0,0,CM18/CM11)</f>
        <v>0</v>
      </c>
      <c r="CN19" s="242">
        <f t="shared" si="14"/>
        <v>0</v>
      </c>
      <c r="CO19" s="242">
        <f t="shared" si="14"/>
        <v>0</v>
      </c>
      <c r="CP19" s="242">
        <f t="shared" si="14"/>
        <v>0</v>
      </c>
      <c r="CQ19" s="242">
        <f t="shared" si="14"/>
        <v>0</v>
      </c>
      <c r="CR19" s="242">
        <f t="shared" si="14"/>
        <v>0</v>
      </c>
      <c r="CS19" s="242">
        <f t="shared" si="14"/>
        <v>0</v>
      </c>
      <c r="CT19" s="242">
        <f t="shared" si="14"/>
        <v>0</v>
      </c>
      <c r="CU19" s="242">
        <f t="shared" si="14"/>
        <v>0</v>
      </c>
      <c r="CV19" s="242">
        <f t="shared" si="14"/>
        <v>0</v>
      </c>
      <c r="CW19" s="242">
        <f t="shared" si="14"/>
        <v>0</v>
      </c>
      <c r="CX19" s="242">
        <f t="shared" si="14"/>
        <v>0</v>
      </c>
      <c r="CY19" s="242">
        <f t="shared" si="14"/>
        <v>0</v>
      </c>
      <c r="CZ19" s="242">
        <f t="shared" si="14"/>
        <v>0</v>
      </c>
      <c r="DA19" s="242">
        <f t="shared" si="14"/>
        <v>0</v>
      </c>
      <c r="DB19" s="242">
        <f t="shared" si="14"/>
        <v>0</v>
      </c>
      <c r="DC19" s="242">
        <f t="shared" si="14"/>
        <v>0</v>
      </c>
    </row>
    <row r="20" spans="2:107" ht="15" customHeight="1" x14ac:dyDescent="0.25">
      <c r="B20" s="515">
        <v>10</v>
      </c>
      <c r="C20" s="225" t="s">
        <v>4226</v>
      </c>
      <c r="D20" s="225"/>
      <c r="E20" s="231" t="s">
        <v>3854</v>
      </c>
      <c r="F20" s="232" t="s">
        <v>4227</v>
      </c>
      <c r="G20" s="554">
        <f>SUM(H20:DC20)</f>
        <v>0</v>
      </c>
      <c r="H20" s="241">
        <f>(H11*H14)/1000</f>
        <v>0</v>
      </c>
      <c r="I20" s="241">
        <f t="shared" ref="I20:Z20" si="15">(I11*I14)/1000</f>
        <v>0</v>
      </c>
      <c r="J20" s="241">
        <f t="shared" si="15"/>
        <v>0</v>
      </c>
      <c r="K20" s="241">
        <f t="shared" si="15"/>
        <v>0</v>
      </c>
      <c r="L20" s="241">
        <f t="shared" si="15"/>
        <v>0</v>
      </c>
      <c r="M20" s="241">
        <f t="shared" si="15"/>
        <v>0</v>
      </c>
      <c r="N20" s="241">
        <f t="shared" si="15"/>
        <v>0</v>
      </c>
      <c r="O20" s="241">
        <f t="shared" si="15"/>
        <v>0</v>
      </c>
      <c r="P20" s="241">
        <f t="shared" si="15"/>
        <v>0</v>
      </c>
      <c r="Q20" s="241">
        <f t="shared" si="15"/>
        <v>0</v>
      </c>
      <c r="R20" s="241">
        <f t="shared" si="15"/>
        <v>0</v>
      </c>
      <c r="S20" s="241">
        <f t="shared" si="15"/>
        <v>0</v>
      </c>
      <c r="T20" s="241">
        <f t="shared" si="15"/>
        <v>0</v>
      </c>
      <c r="U20" s="241">
        <f t="shared" si="15"/>
        <v>0</v>
      </c>
      <c r="V20" s="241">
        <f t="shared" si="15"/>
        <v>0</v>
      </c>
      <c r="W20" s="241">
        <f t="shared" si="15"/>
        <v>0</v>
      </c>
      <c r="X20" s="241">
        <f t="shared" si="15"/>
        <v>0</v>
      </c>
      <c r="Y20" s="241">
        <f t="shared" si="15"/>
        <v>0</v>
      </c>
      <c r="Z20" s="241">
        <f t="shared" si="15"/>
        <v>0</v>
      </c>
      <c r="AA20" s="241">
        <f t="shared" ref="AA20:CL20" si="16">(AA11*AA14)/1000</f>
        <v>0</v>
      </c>
      <c r="AB20" s="241">
        <f t="shared" si="16"/>
        <v>0</v>
      </c>
      <c r="AC20" s="241">
        <f t="shared" si="16"/>
        <v>0</v>
      </c>
      <c r="AD20" s="241">
        <f t="shared" si="16"/>
        <v>0</v>
      </c>
      <c r="AE20" s="241">
        <f t="shared" si="16"/>
        <v>0</v>
      </c>
      <c r="AF20" s="241">
        <f t="shared" si="16"/>
        <v>0</v>
      </c>
      <c r="AG20" s="241">
        <f t="shared" si="16"/>
        <v>0</v>
      </c>
      <c r="AH20" s="241">
        <f t="shared" si="16"/>
        <v>0</v>
      </c>
      <c r="AI20" s="241">
        <f t="shared" si="16"/>
        <v>0</v>
      </c>
      <c r="AJ20" s="241">
        <f t="shared" si="16"/>
        <v>0</v>
      </c>
      <c r="AK20" s="241">
        <f t="shared" si="16"/>
        <v>0</v>
      </c>
      <c r="AL20" s="241">
        <f t="shared" si="16"/>
        <v>0</v>
      </c>
      <c r="AM20" s="241">
        <f t="shared" si="16"/>
        <v>0</v>
      </c>
      <c r="AN20" s="241">
        <f t="shared" si="16"/>
        <v>0</v>
      </c>
      <c r="AO20" s="241">
        <f t="shared" si="16"/>
        <v>0</v>
      </c>
      <c r="AP20" s="241">
        <f t="shared" si="16"/>
        <v>0</v>
      </c>
      <c r="AQ20" s="241">
        <f t="shared" si="16"/>
        <v>0</v>
      </c>
      <c r="AR20" s="241">
        <f t="shared" si="16"/>
        <v>0</v>
      </c>
      <c r="AS20" s="241">
        <f t="shared" si="16"/>
        <v>0</v>
      </c>
      <c r="AT20" s="241">
        <f t="shared" si="16"/>
        <v>0</v>
      </c>
      <c r="AU20" s="241">
        <f t="shared" si="16"/>
        <v>0</v>
      </c>
      <c r="AV20" s="241">
        <f t="shared" si="16"/>
        <v>0</v>
      </c>
      <c r="AW20" s="241">
        <f t="shared" si="16"/>
        <v>0</v>
      </c>
      <c r="AX20" s="241">
        <f t="shared" si="16"/>
        <v>0</v>
      </c>
      <c r="AY20" s="241">
        <f t="shared" si="16"/>
        <v>0</v>
      </c>
      <c r="AZ20" s="241">
        <f t="shared" si="16"/>
        <v>0</v>
      </c>
      <c r="BA20" s="241">
        <f t="shared" si="16"/>
        <v>0</v>
      </c>
      <c r="BB20" s="241">
        <f t="shared" si="16"/>
        <v>0</v>
      </c>
      <c r="BC20" s="241">
        <f t="shared" si="16"/>
        <v>0</v>
      </c>
      <c r="BD20" s="241">
        <f t="shared" si="16"/>
        <v>0</v>
      </c>
      <c r="BE20" s="241">
        <f t="shared" si="16"/>
        <v>0</v>
      </c>
      <c r="BF20" s="241">
        <f t="shared" si="16"/>
        <v>0</v>
      </c>
      <c r="BG20" s="241">
        <f t="shared" si="16"/>
        <v>0</v>
      </c>
      <c r="BH20" s="241">
        <f t="shared" si="16"/>
        <v>0</v>
      </c>
      <c r="BI20" s="241">
        <f t="shared" si="16"/>
        <v>0</v>
      </c>
      <c r="BJ20" s="241">
        <f t="shared" si="16"/>
        <v>0</v>
      </c>
      <c r="BK20" s="241">
        <f t="shared" si="16"/>
        <v>0</v>
      </c>
      <c r="BL20" s="241">
        <f t="shared" si="16"/>
        <v>0</v>
      </c>
      <c r="BM20" s="241">
        <f t="shared" si="16"/>
        <v>0</v>
      </c>
      <c r="BN20" s="241">
        <f t="shared" si="16"/>
        <v>0</v>
      </c>
      <c r="BO20" s="241">
        <f t="shared" si="16"/>
        <v>0</v>
      </c>
      <c r="BP20" s="241">
        <f t="shared" si="16"/>
        <v>0</v>
      </c>
      <c r="BQ20" s="241">
        <f t="shared" si="16"/>
        <v>0</v>
      </c>
      <c r="BR20" s="241">
        <f t="shared" si="16"/>
        <v>0</v>
      </c>
      <c r="BS20" s="241">
        <f t="shared" si="16"/>
        <v>0</v>
      </c>
      <c r="BT20" s="241">
        <f t="shared" si="16"/>
        <v>0</v>
      </c>
      <c r="BU20" s="241">
        <f t="shared" si="16"/>
        <v>0</v>
      </c>
      <c r="BV20" s="241">
        <f t="shared" si="16"/>
        <v>0</v>
      </c>
      <c r="BW20" s="241">
        <f t="shared" si="16"/>
        <v>0</v>
      </c>
      <c r="BX20" s="241">
        <f t="shared" si="16"/>
        <v>0</v>
      </c>
      <c r="BY20" s="241">
        <f t="shared" si="16"/>
        <v>0</v>
      </c>
      <c r="BZ20" s="241">
        <f t="shared" si="16"/>
        <v>0</v>
      </c>
      <c r="CA20" s="241">
        <f t="shared" si="16"/>
        <v>0</v>
      </c>
      <c r="CB20" s="241">
        <f t="shared" si="16"/>
        <v>0</v>
      </c>
      <c r="CC20" s="241">
        <f t="shared" si="16"/>
        <v>0</v>
      </c>
      <c r="CD20" s="241">
        <f t="shared" si="16"/>
        <v>0</v>
      </c>
      <c r="CE20" s="241">
        <f t="shared" si="16"/>
        <v>0</v>
      </c>
      <c r="CF20" s="241">
        <f t="shared" si="16"/>
        <v>0</v>
      </c>
      <c r="CG20" s="241">
        <f t="shared" si="16"/>
        <v>0</v>
      </c>
      <c r="CH20" s="241">
        <f t="shared" si="16"/>
        <v>0</v>
      </c>
      <c r="CI20" s="241">
        <f t="shared" si="16"/>
        <v>0</v>
      </c>
      <c r="CJ20" s="241">
        <f t="shared" si="16"/>
        <v>0</v>
      </c>
      <c r="CK20" s="241">
        <f t="shared" si="16"/>
        <v>0</v>
      </c>
      <c r="CL20" s="241">
        <f t="shared" si="16"/>
        <v>0</v>
      </c>
      <c r="CM20" s="241">
        <f t="shared" ref="CM20:DC20" si="17">(CM11*CM14)/1000</f>
        <v>0</v>
      </c>
      <c r="CN20" s="241">
        <f t="shared" si="17"/>
        <v>0</v>
      </c>
      <c r="CO20" s="241">
        <f t="shared" si="17"/>
        <v>0</v>
      </c>
      <c r="CP20" s="241">
        <f t="shared" si="17"/>
        <v>0</v>
      </c>
      <c r="CQ20" s="241">
        <f t="shared" si="17"/>
        <v>0</v>
      </c>
      <c r="CR20" s="241">
        <f t="shared" si="17"/>
        <v>0</v>
      </c>
      <c r="CS20" s="241">
        <f t="shared" si="17"/>
        <v>0</v>
      </c>
      <c r="CT20" s="241">
        <f t="shared" si="17"/>
        <v>0</v>
      </c>
      <c r="CU20" s="241">
        <f t="shared" si="17"/>
        <v>0</v>
      </c>
      <c r="CV20" s="241">
        <f t="shared" si="17"/>
        <v>0</v>
      </c>
      <c r="CW20" s="241">
        <f t="shared" si="17"/>
        <v>0</v>
      </c>
      <c r="CX20" s="241">
        <f t="shared" si="17"/>
        <v>0</v>
      </c>
      <c r="CY20" s="241">
        <f t="shared" si="17"/>
        <v>0</v>
      </c>
      <c r="CZ20" s="241">
        <f t="shared" si="17"/>
        <v>0</v>
      </c>
      <c r="DA20" s="241">
        <f t="shared" si="17"/>
        <v>0</v>
      </c>
      <c r="DB20" s="241">
        <f t="shared" si="17"/>
        <v>0</v>
      </c>
      <c r="DC20" s="241">
        <f t="shared" si="17"/>
        <v>0</v>
      </c>
    </row>
    <row r="21" spans="2:107" ht="15" customHeight="1" x14ac:dyDescent="0.25">
      <c r="B21" s="515">
        <v>11</v>
      </c>
      <c r="C21" s="225" t="s">
        <v>4228</v>
      </c>
      <c r="D21" s="225"/>
      <c r="E21" s="226" t="s">
        <v>3857</v>
      </c>
      <c r="F21" s="232" t="s">
        <v>4229</v>
      </c>
      <c r="G21" s="243">
        <f>SUM(H21:DC21)</f>
        <v>0</v>
      </c>
      <c r="H21" s="244">
        <f>H11*H19</f>
        <v>0</v>
      </c>
      <c r="I21" s="244">
        <f t="shared" ref="I21:Z21" si="18">I11*I19</f>
        <v>0</v>
      </c>
      <c r="J21" s="244">
        <f t="shared" si="18"/>
        <v>0</v>
      </c>
      <c r="K21" s="244">
        <f t="shared" si="18"/>
        <v>0</v>
      </c>
      <c r="L21" s="244">
        <f t="shared" si="18"/>
        <v>0</v>
      </c>
      <c r="M21" s="244">
        <f t="shared" si="18"/>
        <v>0</v>
      </c>
      <c r="N21" s="244">
        <f t="shared" si="18"/>
        <v>0</v>
      </c>
      <c r="O21" s="244">
        <f t="shared" si="18"/>
        <v>0</v>
      </c>
      <c r="P21" s="244">
        <f t="shared" si="18"/>
        <v>0</v>
      </c>
      <c r="Q21" s="244">
        <f t="shared" si="18"/>
        <v>0</v>
      </c>
      <c r="R21" s="244">
        <f t="shared" si="18"/>
        <v>0</v>
      </c>
      <c r="S21" s="244">
        <f t="shared" si="18"/>
        <v>0</v>
      </c>
      <c r="T21" s="244">
        <f t="shared" si="18"/>
        <v>0</v>
      </c>
      <c r="U21" s="244">
        <f t="shared" si="18"/>
        <v>0</v>
      </c>
      <c r="V21" s="244">
        <f t="shared" si="18"/>
        <v>0</v>
      </c>
      <c r="W21" s="244">
        <f t="shared" si="18"/>
        <v>0</v>
      </c>
      <c r="X21" s="244">
        <f t="shared" si="18"/>
        <v>0</v>
      </c>
      <c r="Y21" s="244">
        <f t="shared" si="18"/>
        <v>0</v>
      </c>
      <c r="Z21" s="244">
        <f t="shared" si="18"/>
        <v>0</v>
      </c>
      <c r="AA21" s="244">
        <f t="shared" ref="AA21:CL21" si="19">AA11*AA19</f>
        <v>0</v>
      </c>
      <c r="AB21" s="244">
        <f t="shared" si="19"/>
        <v>0</v>
      </c>
      <c r="AC21" s="244">
        <f t="shared" si="19"/>
        <v>0</v>
      </c>
      <c r="AD21" s="244">
        <f t="shared" si="19"/>
        <v>0</v>
      </c>
      <c r="AE21" s="244">
        <f t="shared" si="19"/>
        <v>0</v>
      </c>
      <c r="AF21" s="244">
        <f t="shared" si="19"/>
        <v>0</v>
      </c>
      <c r="AG21" s="244">
        <f t="shared" si="19"/>
        <v>0</v>
      </c>
      <c r="AH21" s="244">
        <f t="shared" si="19"/>
        <v>0</v>
      </c>
      <c r="AI21" s="244">
        <f t="shared" si="19"/>
        <v>0</v>
      </c>
      <c r="AJ21" s="244">
        <f t="shared" si="19"/>
        <v>0</v>
      </c>
      <c r="AK21" s="244">
        <f t="shared" si="19"/>
        <v>0</v>
      </c>
      <c r="AL21" s="244">
        <f t="shared" si="19"/>
        <v>0</v>
      </c>
      <c r="AM21" s="244">
        <f t="shared" si="19"/>
        <v>0</v>
      </c>
      <c r="AN21" s="244">
        <f t="shared" si="19"/>
        <v>0</v>
      </c>
      <c r="AO21" s="244">
        <f t="shared" si="19"/>
        <v>0</v>
      </c>
      <c r="AP21" s="244">
        <f t="shared" si="19"/>
        <v>0</v>
      </c>
      <c r="AQ21" s="244">
        <f t="shared" si="19"/>
        <v>0</v>
      </c>
      <c r="AR21" s="244">
        <f t="shared" si="19"/>
        <v>0</v>
      </c>
      <c r="AS21" s="244">
        <f t="shared" si="19"/>
        <v>0</v>
      </c>
      <c r="AT21" s="244">
        <f t="shared" si="19"/>
        <v>0</v>
      </c>
      <c r="AU21" s="244">
        <f t="shared" si="19"/>
        <v>0</v>
      </c>
      <c r="AV21" s="244">
        <f t="shared" si="19"/>
        <v>0</v>
      </c>
      <c r="AW21" s="244">
        <f t="shared" si="19"/>
        <v>0</v>
      </c>
      <c r="AX21" s="244">
        <f t="shared" si="19"/>
        <v>0</v>
      </c>
      <c r="AY21" s="244">
        <f t="shared" si="19"/>
        <v>0</v>
      </c>
      <c r="AZ21" s="244">
        <f t="shared" si="19"/>
        <v>0</v>
      </c>
      <c r="BA21" s="244">
        <f t="shared" si="19"/>
        <v>0</v>
      </c>
      <c r="BB21" s="244">
        <f t="shared" si="19"/>
        <v>0</v>
      </c>
      <c r="BC21" s="244">
        <f t="shared" si="19"/>
        <v>0</v>
      </c>
      <c r="BD21" s="244">
        <f t="shared" si="19"/>
        <v>0</v>
      </c>
      <c r="BE21" s="244">
        <f t="shared" si="19"/>
        <v>0</v>
      </c>
      <c r="BF21" s="244">
        <f t="shared" si="19"/>
        <v>0</v>
      </c>
      <c r="BG21" s="244">
        <f t="shared" si="19"/>
        <v>0</v>
      </c>
      <c r="BH21" s="244">
        <f t="shared" si="19"/>
        <v>0</v>
      </c>
      <c r="BI21" s="244">
        <f t="shared" si="19"/>
        <v>0</v>
      </c>
      <c r="BJ21" s="244">
        <f t="shared" si="19"/>
        <v>0</v>
      </c>
      <c r="BK21" s="244">
        <f t="shared" si="19"/>
        <v>0</v>
      </c>
      <c r="BL21" s="244">
        <f t="shared" si="19"/>
        <v>0</v>
      </c>
      <c r="BM21" s="244">
        <f t="shared" si="19"/>
        <v>0</v>
      </c>
      <c r="BN21" s="244">
        <f t="shared" si="19"/>
        <v>0</v>
      </c>
      <c r="BO21" s="244">
        <f t="shared" si="19"/>
        <v>0</v>
      </c>
      <c r="BP21" s="244">
        <f t="shared" si="19"/>
        <v>0</v>
      </c>
      <c r="BQ21" s="244">
        <f t="shared" si="19"/>
        <v>0</v>
      </c>
      <c r="BR21" s="244">
        <f t="shared" si="19"/>
        <v>0</v>
      </c>
      <c r="BS21" s="244">
        <f t="shared" si="19"/>
        <v>0</v>
      </c>
      <c r="BT21" s="244">
        <f t="shared" si="19"/>
        <v>0</v>
      </c>
      <c r="BU21" s="244">
        <f t="shared" si="19"/>
        <v>0</v>
      </c>
      <c r="BV21" s="244">
        <f t="shared" si="19"/>
        <v>0</v>
      </c>
      <c r="BW21" s="244">
        <f t="shared" si="19"/>
        <v>0</v>
      </c>
      <c r="BX21" s="244">
        <f t="shared" si="19"/>
        <v>0</v>
      </c>
      <c r="BY21" s="244">
        <f t="shared" si="19"/>
        <v>0</v>
      </c>
      <c r="BZ21" s="244">
        <f t="shared" si="19"/>
        <v>0</v>
      </c>
      <c r="CA21" s="244">
        <f t="shared" si="19"/>
        <v>0</v>
      </c>
      <c r="CB21" s="244">
        <f t="shared" si="19"/>
        <v>0</v>
      </c>
      <c r="CC21" s="244">
        <f t="shared" si="19"/>
        <v>0</v>
      </c>
      <c r="CD21" s="244">
        <f t="shared" si="19"/>
        <v>0</v>
      </c>
      <c r="CE21" s="244">
        <f t="shared" si="19"/>
        <v>0</v>
      </c>
      <c r="CF21" s="244">
        <f t="shared" si="19"/>
        <v>0</v>
      </c>
      <c r="CG21" s="244">
        <f t="shared" si="19"/>
        <v>0</v>
      </c>
      <c r="CH21" s="244">
        <f t="shared" si="19"/>
        <v>0</v>
      </c>
      <c r="CI21" s="244">
        <f t="shared" si="19"/>
        <v>0</v>
      </c>
      <c r="CJ21" s="244">
        <f t="shared" si="19"/>
        <v>0</v>
      </c>
      <c r="CK21" s="244">
        <f t="shared" si="19"/>
        <v>0</v>
      </c>
      <c r="CL21" s="244">
        <f t="shared" si="19"/>
        <v>0</v>
      </c>
      <c r="CM21" s="244">
        <f t="shared" ref="CM21:DC21" si="20">CM11*CM19</f>
        <v>0</v>
      </c>
      <c r="CN21" s="244">
        <f t="shared" si="20"/>
        <v>0</v>
      </c>
      <c r="CO21" s="244">
        <f t="shared" si="20"/>
        <v>0</v>
      </c>
      <c r="CP21" s="244">
        <f t="shared" si="20"/>
        <v>0</v>
      </c>
      <c r="CQ21" s="244">
        <f t="shared" si="20"/>
        <v>0</v>
      </c>
      <c r="CR21" s="244">
        <f t="shared" si="20"/>
        <v>0</v>
      </c>
      <c r="CS21" s="244">
        <f t="shared" si="20"/>
        <v>0</v>
      </c>
      <c r="CT21" s="244">
        <f t="shared" si="20"/>
        <v>0</v>
      </c>
      <c r="CU21" s="244">
        <f t="shared" si="20"/>
        <v>0</v>
      </c>
      <c r="CV21" s="244">
        <f t="shared" si="20"/>
        <v>0</v>
      </c>
      <c r="CW21" s="244">
        <f t="shared" si="20"/>
        <v>0</v>
      </c>
      <c r="CX21" s="244">
        <f t="shared" si="20"/>
        <v>0</v>
      </c>
      <c r="CY21" s="244">
        <f t="shared" si="20"/>
        <v>0</v>
      </c>
      <c r="CZ21" s="244">
        <f t="shared" si="20"/>
        <v>0</v>
      </c>
      <c r="DA21" s="244">
        <f t="shared" si="20"/>
        <v>0</v>
      </c>
      <c r="DB21" s="244">
        <f t="shared" si="20"/>
        <v>0</v>
      </c>
      <c r="DC21" s="244">
        <f t="shared" si="20"/>
        <v>0</v>
      </c>
    </row>
    <row r="23" spans="2:107" ht="15" customHeight="1" x14ac:dyDescent="0.25">
      <c r="B23" s="649" t="s">
        <v>4711</v>
      </c>
      <c r="C23" s="650"/>
      <c r="D23" s="650"/>
      <c r="E23" s="650"/>
      <c r="F23" s="65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</row>
    <row r="24" spans="2:107" s="103" customFormat="1" ht="15" customHeight="1" x14ac:dyDescent="0.25">
      <c r="B24" s="515"/>
      <c r="C24" s="516"/>
      <c r="D24" s="516"/>
      <c r="E24" s="516"/>
      <c r="F24" s="222"/>
      <c r="G24" s="223" t="s">
        <v>76</v>
      </c>
      <c r="H24" s="224" t="s">
        <v>4606</v>
      </c>
      <c r="I24" s="224" t="s">
        <v>4607</v>
      </c>
      <c r="J24" s="224" t="s">
        <v>4608</v>
      </c>
      <c r="K24" s="224" t="s">
        <v>4609</v>
      </c>
      <c r="L24" s="224" t="s">
        <v>4610</v>
      </c>
      <c r="M24" s="224" t="s">
        <v>4611</v>
      </c>
      <c r="N24" s="224" t="s">
        <v>4612</v>
      </c>
      <c r="O24" s="224" t="s">
        <v>4613</v>
      </c>
      <c r="P24" s="224" t="s">
        <v>4614</v>
      </c>
      <c r="Q24" s="224" t="s">
        <v>4615</v>
      </c>
      <c r="R24" s="224" t="s">
        <v>4616</v>
      </c>
      <c r="S24" s="224" t="s">
        <v>4617</v>
      </c>
      <c r="T24" s="224" t="s">
        <v>4618</v>
      </c>
      <c r="U24" s="224" t="s">
        <v>4619</v>
      </c>
      <c r="V24" s="224" t="s">
        <v>4620</v>
      </c>
      <c r="W24" s="224" t="s">
        <v>4621</v>
      </c>
      <c r="X24" s="224" t="s">
        <v>4622</v>
      </c>
      <c r="Y24" s="224" t="s">
        <v>4623</v>
      </c>
      <c r="Z24" s="224" t="s">
        <v>4624</v>
      </c>
      <c r="AA24" s="224" t="s">
        <v>4625</v>
      </c>
      <c r="AB24" s="224" t="s">
        <v>4626</v>
      </c>
      <c r="AC24" s="224" t="s">
        <v>4627</v>
      </c>
      <c r="AD24" s="224" t="s">
        <v>4628</v>
      </c>
      <c r="AE24" s="224" t="s">
        <v>4629</v>
      </c>
      <c r="AF24" s="224" t="s">
        <v>4630</v>
      </c>
      <c r="AG24" s="224" t="s">
        <v>4631</v>
      </c>
      <c r="AH24" s="224" t="s">
        <v>4632</v>
      </c>
      <c r="AI24" s="224" t="s">
        <v>4633</v>
      </c>
      <c r="AJ24" s="224" t="s">
        <v>4634</v>
      </c>
      <c r="AK24" s="224" t="s">
        <v>4635</v>
      </c>
      <c r="AL24" s="224" t="s">
        <v>4636</v>
      </c>
      <c r="AM24" s="224" t="s">
        <v>4637</v>
      </c>
      <c r="AN24" s="224" t="s">
        <v>4638</v>
      </c>
      <c r="AO24" s="224" t="s">
        <v>4639</v>
      </c>
      <c r="AP24" s="224" t="s">
        <v>4640</v>
      </c>
      <c r="AQ24" s="224" t="s">
        <v>4641</v>
      </c>
      <c r="AR24" s="224" t="s">
        <v>4642</v>
      </c>
      <c r="AS24" s="224" t="s">
        <v>4643</v>
      </c>
      <c r="AT24" s="224" t="s">
        <v>4644</v>
      </c>
      <c r="AU24" s="224" t="s">
        <v>4645</v>
      </c>
      <c r="AV24" s="224" t="s">
        <v>4646</v>
      </c>
      <c r="AW24" s="224" t="s">
        <v>4647</v>
      </c>
      <c r="AX24" s="224" t="s">
        <v>4648</v>
      </c>
      <c r="AY24" s="224" t="s">
        <v>4649</v>
      </c>
      <c r="AZ24" s="224" t="s">
        <v>4650</v>
      </c>
      <c r="BA24" s="224" t="s">
        <v>4651</v>
      </c>
      <c r="BB24" s="224" t="s">
        <v>4652</v>
      </c>
      <c r="BC24" s="224" t="s">
        <v>4653</v>
      </c>
      <c r="BD24" s="224" t="s">
        <v>4654</v>
      </c>
      <c r="BE24" s="224" t="s">
        <v>4655</v>
      </c>
      <c r="BF24" s="224" t="s">
        <v>4656</v>
      </c>
      <c r="BG24" s="224" t="s">
        <v>4657</v>
      </c>
      <c r="BH24" s="224" t="s">
        <v>4658</v>
      </c>
      <c r="BI24" s="224" t="s">
        <v>4659</v>
      </c>
      <c r="BJ24" s="224" t="s">
        <v>4660</v>
      </c>
      <c r="BK24" s="224" t="s">
        <v>4661</v>
      </c>
      <c r="BL24" s="224" t="s">
        <v>4662</v>
      </c>
      <c r="BM24" s="224" t="s">
        <v>4663</v>
      </c>
      <c r="BN24" s="224" t="s">
        <v>4664</v>
      </c>
      <c r="BO24" s="224" t="s">
        <v>4665</v>
      </c>
      <c r="BP24" s="224" t="s">
        <v>4666</v>
      </c>
      <c r="BQ24" s="224" t="s">
        <v>4667</v>
      </c>
      <c r="BR24" s="224" t="s">
        <v>4668</v>
      </c>
      <c r="BS24" s="224" t="s">
        <v>4669</v>
      </c>
      <c r="BT24" s="224" t="s">
        <v>4670</v>
      </c>
      <c r="BU24" s="224" t="s">
        <v>4671</v>
      </c>
      <c r="BV24" s="224" t="s">
        <v>4672</v>
      </c>
      <c r="BW24" s="224" t="s">
        <v>4673</v>
      </c>
      <c r="BX24" s="224" t="s">
        <v>4674</v>
      </c>
      <c r="BY24" s="224" t="s">
        <v>4675</v>
      </c>
      <c r="BZ24" s="224" t="s">
        <v>4676</v>
      </c>
      <c r="CA24" s="224" t="s">
        <v>4677</v>
      </c>
      <c r="CB24" s="224" t="s">
        <v>4678</v>
      </c>
      <c r="CC24" s="224" t="s">
        <v>4679</v>
      </c>
      <c r="CD24" s="224" t="s">
        <v>4680</v>
      </c>
      <c r="CE24" s="224" t="s">
        <v>4681</v>
      </c>
      <c r="CF24" s="224" t="s">
        <v>4682</v>
      </c>
      <c r="CG24" s="224" t="s">
        <v>4683</v>
      </c>
      <c r="CH24" s="224" t="s">
        <v>4684</v>
      </c>
      <c r="CI24" s="224" t="s">
        <v>4685</v>
      </c>
      <c r="CJ24" s="224" t="s">
        <v>4686</v>
      </c>
      <c r="CK24" s="224" t="s">
        <v>4687</v>
      </c>
      <c r="CL24" s="224" t="s">
        <v>4688</v>
      </c>
      <c r="CM24" s="224" t="s">
        <v>4689</v>
      </c>
      <c r="CN24" s="224" t="s">
        <v>4690</v>
      </c>
      <c r="CO24" s="224" t="s">
        <v>4691</v>
      </c>
      <c r="CP24" s="224" t="s">
        <v>4692</v>
      </c>
      <c r="CQ24" s="224" t="s">
        <v>4693</v>
      </c>
      <c r="CR24" s="224" t="s">
        <v>4694</v>
      </c>
      <c r="CS24" s="224" t="s">
        <v>4695</v>
      </c>
      <c r="CT24" s="224" t="s">
        <v>4696</v>
      </c>
      <c r="CU24" s="224" t="s">
        <v>4697</v>
      </c>
      <c r="CV24" s="224" t="s">
        <v>4698</v>
      </c>
      <c r="CW24" s="224" t="s">
        <v>4699</v>
      </c>
      <c r="CX24" s="224" t="s">
        <v>4700</v>
      </c>
      <c r="CY24" s="224" t="s">
        <v>4701</v>
      </c>
      <c r="CZ24" s="224" t="s">
        <v>4702</v>
      </c>
      <c r="DA24" s="224" t="s">
        <v>4703</v>
      </c>
      <c r="DB24" s="224" t="s">
        <v>4704</v>
      </c>
      <c r="DC24" s="224" t="s">
        <v>4705</v>
      </c>
    </row>
    <row r="25" spans="2:107" s="103" customFormat="1" ht="15" customHeight="1" x14ac:dyDescent="0.25">
      <c r="B25" s="515">
        <v>11</v>
      </c>
      <c r="C25" s="307" t="s">
        <v>4195</v>
      </c>
      <c r="D25" s="516"/>
      <c r="E25" s="516"/>
      <c r="F25" s="222"/>
      <c r="G25" s="223"/>
      <c r="H25" s="224" t="str">
        <f>IF(H4="","",H4)</f>
        <v/>
      </c>
      <c r="I25" s="224" t="str">
        <f t="shared" ref="I25:BT25" si="21">IF(I4="","",I4)</f>
        <v/>
      </c>
      <c r="J25" s="224" t="str">
        <f t="shared" si="21"/>
        <v/>
      </c>
      <c r="K25" s="224" t="str">
        <f t="shared" si="21"/>
        <v/>
      </c>
      <c r="L25" s="224" t="str">
        <f t="shared" si="21"/>
        <v/>
      </c>
      <c r="M25" s="224" t="str">
        <f t="shared" si="21"/>
        <v/>
      </c>
      <c r="N25" s="224" t="str">
        <f t="shared" si="21"/>
        <v/>
      </c>
      <c r="O25" s="224" t="str">
        <f t="shared" si="21"/>
        <v/>
      </c>
      <c r="P25" s="224" t="str">
        <f t="shared" si="21"/>
        <v/>
      </c>
      <c r="Q25" s="224" t="str">
        <f t="shared" si="21"/>
        <v/>
      </c>
      <c r="R25" s="224" t="str">
        <f t="shared" si="21"/>
        <v/>
      </c>
      <c r="S25" s="224" t="str">
        <f t="shared" si="21"/>
        <v/>
      </c>
      <c r="T25" s="224" t="str">
        <f t="shared" si="21"/>
        <v/>
      </c>
      <c r="U25" s="224" t="str">
        <f t="shared" si="21"/>
        <v/>
      </c>
      <c r="V25" s="224" t="str">
        <f t="shared" si="21"/>
        <v/>
      </c>
      <c r="W25" s="224" t="str">
        <f t="shared" si="21"/>
        <v/>
      </c>
      <c r="X25" s="224" t="str">
        <f t="shared" si="21"/>
        <v/>
      </c>
      <c r="Y25" s="224" t="str">
        <f t="shared" si="21"/>
        <v/>
      </c>
      <c r="Z25" s="224" t="str">
        <f t="shared" si="21"/>
        <v/>
      </c>
      <c r="AA25" s="224" t="str">
        <f t="shared" si="21"/>
        <v/>
      </c>
      <c r="AB25" s="224" t="str">
        <f t="shared" si="21"/>
        <v/>
      </c>
      <c r="AC25" s="224" t="str">
        <f t="shared" si="21"/>
        <v/>
      </c>
      <c r="AD25" s="224" t="str">
        <f t="shared" si="21"/>
        <v/>
      </c>
      <c r="AE25" s="224" t="str">
        <f t="shared" si="21"/>
        <v/>
      </c>
      <c r="AF25" s="224" t="str">
        <f t="shared" si="21"/>
        <v/>
      </c>
      <c r="AG25" s="224" t="str">
        <f t="shared" si="21"/>
        <v/>
      </c>
      <c r="AH25" s="224" t="str">
        <f t="shared" si="21"/>
        <v/>
      </c>
      <c r="AI25" s="224" t="str">
        <f t="shared" si="21"/>
        <v/>
      </c>
      <c r="AJ25" s="224" t="str">
        <f t="shared" si="21"/>
        <v/>
      </c>
      <c r="AK25" s="224" t="str">
        <f t="shared" si="21"/>
        <v/>
      </c>
      <c r="AL25" s="224" t="str">
        <f t="shared" si="21"/>
        <v/>
      </c>
      <c r="AM25" s="224" t="str">
        <f t="shared" si="21"/>
        <v/>
      </c>
      <c r="AN25" s="224" t="str">
        <f t="shared" si="21"/>
        <v/>
      </c>
      <c r="AO25" s="224" t="str">
        <f t="shared" si="21"/>
        <v/>
      </c>
      <c r="AP25" s="224" t="str">
        <f t="shared" si="21"/>
        <v/>
      </c>
      <c r="AQ25" s="224" t="str">
        <f t="shared" si="21"/>
        <v/>
      </c>
      <c r="AR25" s="224" t="str">
        <f t="shared" si="21"/>
        <v/>
      </c>
      <c r="AS25" s="224" t="str">
        <f t="shared" si="21"/>
        <v/>
      </c>
      <c r="AT25" s="224" t="str">
        <f t="shared" si="21"/>
        <v/>
      </c>
      <c r="AU25" s="224" t="str">
        <f t="shared" si="21"/>
        <v/>
      </c>
      <c r="AV25" s="224" t="str">
        <f t="shared" si="21"/>
        <v/>
      </c>
      <c r="AW25" s="224" t="str">
        <f t="shared" si="21"/>
        <v/>
      </c>
      <c r="AX25" s="224" t="str">
        <f t="shared" si="21"/>
        <v/>
      </c>
      <c r="AY25" s="224" t="str">
        <f t="shared" si="21"/>
        <v/>
      </c>
      <c r="AZ25" s="224" t="str">
        <f t="shared" si="21"/>
        <v/>
      </c>
      <c r="BA25" s="224" t="str">
        <f t="shared" si="21"/>
        <v/>
      </c>
      <c r="BB25" s="224" t="str">
        <f t="shared" si="21"/>
        <v/>
      </c>
      <c r="BC25" s="224" t="str">
        <f t="shared" si="21"/>
        <v/>
      </c>
      <c r="BD25" s="224" t="str">
        <f t="shared" si="21"/>
        <v/>
      </c>
      <c r="BE25" s="224" t="str">
        <f t="shared" si="21"/>
        <v/>
      </c>
      <c r="BF25" s="224" t="str">
        <f t="shared" si="21"/>
        <v/>
      </c>
      <c r="BG25" s="224" t="str">
        <f t="shared" si="21"/>
        <v/>
      </c>
      <c r="BH25" s="224" t="str">
        <f t="shared" si="21"/>
        <v/>
      </c>
      <c r="BI25" s="224" t="str">
        <f t="shared" si="21"/>
        <v/>
      </c>
      <c r="BJ25" s="224" t="str">
        <f t="shared" si="21"/>
        <v/>
      </c>
      <c r="BK25" s="224" t="str">
        <f t="shared" si="21"/>
        <v/>
      </c>
      <c r="BL25" s="224" t="str">
        <f t="shared" si="21"/>
        <v/>
      </c>
      <c r="BM25" s="224" t="str">
        <f t="shared" si="21"/>
        <v/>
      </c>
      <c r="BN25" s="224" t="str">
        <f t="shared" si="21"/>
        <v/>
      </c>
      <c r="BO25" s="224" t="str">
        <f t="shared" si="21"/>
        <v/>
      </c>
      <c r="BP25" s="224" t="str">
        <f t="shared" si="21"/>
        <v/>
      </c>
      <c r="BQ25" s="224" t="str">
        <f t="shared" si="21"/>
        <v/>
      </c>
      <c r="BR25" s="224" t="str">
        <f t="shared" si="21"/>
        <v/>
      </c>
      <c r="BS25" s="224" t="str">
        <f t="shared" si="21"/>
        <v/>
      </c>
      <c r="BT25" s="224" t="str">
        <f t="shared" si="21"/>
        <v/>
      </c>
      <c r="BU25" s="224" t="str">
        <f t="shared" ref="BU25:DC25" si="22">IF(BU4="","",BU4)</f>
        <v/>
      </c>
      <c r="BV25" s="224" t="str">
        <f t="shared" si="22"/>
        <v/>
      </c>
      <c r="BW25" s="224" t="str">
        <f t="shared" si="22"/>
        <v/>
      </c>
      <c r="BX25" s="224" t="str">
        <f t="shared" si="22"/>
        <v/>
      </c>
      <c r="BY25" s="224" t="str">
        <f t="shared" si="22"/>
        <v/>
      </c>
      <c r="BZ25" s="224" t="str">
        <f t="shared" si="22"/>
        <v/>
      </c>
      <c r="CA25" s="224" t="str">
        <f t="shared" si="22"/>
        <v/>
      </c>
      <c r="CB25" s="224" t="str">
        <f t="shared" si="22"/>
        <v/>
      </c>
      <c r="CC25" s="224" t="str">
        <f t="shared" si="22"/>
        <v/>
      </c>
      <c r="CD25" s="224" t="str">
        <f t="shared" si="22"/>
        <v/>
      </c>
      <c r="CE25" s="224" t="str">
        <f t="shared" si="22"/>
        <v/>
      </c>
      <c r="CF25" s="224" t="str">
        <f t="shared" si="22"/>
        <v/>
      </c>
      <c r="CG25" s="224" t="str">
        <f t="shared" si="22"/>
        <v/>
      </c>
      <c r="CH25" s="224" t="str">
        <f t="shared" si="22"/>
        <v/>
      </c>
      <c r="CI25" s="224" t="str">
        <f t="shared" si="22"/>
        <v/>
      </c>
      <c r="CJ25" s="224" t="str">
        <f t="shared" si="22"/>
        <v/>
      </c>
      <c r="CK25" s="224" t="str">
        <f t="shared" si="22"/>
        <v/>
      </c>
      <c r="CL25" s="224" t="str">
        <f t="shared" si="22"/>
        <v/>
      </c>
      <c r="CM25" s="224" t="str">
        <f t="shared" si="22"/>
        <v/>
      </c>
      <c r="CN25" s="224" t="str">
        <f t="shared" si="22"/>
        <v/>
      </c>
      <c r="CO25" s="224" t="str">
        <f t="shared" si="22"/>
        <v/>
      </c>
      <c r="CP25" s="224" t="str">
        <f t="shared" si="22"/>
        <v/>
      </c>
      <c r="CQ25" s="224" t="str">
        <f t="shared" si="22"/>
        <v/>
      </c>
      <c r="CR25" s="224" t="str">
        <f t="shared" si="22"/>
        <v/>
      </c>
      <c r="CS25" s="224" t="str">
        <f t="shared" si="22"/>
        <v/>
      </c>
      <c r="CT25" s="224" t="str">
        <f t="shared" si="22"/>
        <v/>
      </c>
      <c r="CU25" s="224" t="str">
        <f t="shared" si="22"/>
        <v/>
      </c>
      <c r="CV25" s="224" t="str">
        <f t="shared" si="22"/>
        <v/>
      </c>
      <c r="CW25" s="224" t="str">
        <f t="shared" si="22"/>
        <v/>
      </c>
      <c r="CX25" s="224" t="str">
        <f t="shared" si="22"/>
        <v/>
      </c>
      <c r="CY25" s="224" t="str">
        <f t="shared" si="22"/>
        <v/>
      </c>
      <c r="CZ25" s="224" t="str">
        <f t="shared" si="22"/>
        <v/>
      </c>
      <c r="DA25" s="224" t="str">
        <f t="shared" si="22"/>
        <v/>
      </c>
      <c r="DB25" s="224" t="str">
        <f t="shared" si="22"/>
        <v/>
      </c>
      <c r="DC25" s="224" t="str">
        <f t="shared" si="22"/>
        <v/>
      </c>
    </row>
    <row r="26" spans="2:107" ht="15" customHeight="1" x14ac:dyDescent="0.25">
      <c r="B26" s="515">
        <v>12</v>
      </c>
      <c r="C26" s="225" t="s">
        <v>4196</v>
      </c>
      <c r="D26" s="225"/>
      <c r="E26" s="226"/>
      <c r="F26" s="227"/>
      <c r="G26" s="228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</row>
    <row r="27" spans="2:107" ht="15" customHeight="1" x14ac:dyDescent="0.25">
      <c r="B27" s="515">
        <v>13</v>
      </c>
      <c r="C27" s="225" t="s">
        <v>4706</v>
      </c>
      <c r="D27" s="225"/>
      <c r="E27" s="231" t="s">
        <v>4707</v>
      </c>
      <c r="F27" s="232" t="s">
        <v>4266</v>
      </c>
      <c r="G27" s="235">
        <f>SUM(H27:DC27)</f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</row>
    <row r="28" spans="2:107" ht="15" customHeight="1" x14ac:dyDescent="0.25">
      <c r="B28" s="515">
        <v>14</v>
      </c>
      <c r="C28" s="225" t="s">
        <v>4708</v>
      </c>
      <c r="D28" s="225"/>
      <c r="E28" s="231" t="s">
        <v>4709</v>
      </c>
      <c r="F28" s="232" t="s">
        <v>4712</v>
      </c>
      <c r="G28" s="23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</row>
    <row r="29" spans="2:107" ht="15" customHeight="1" x14ac:dyDescent="0.25">
      <c r="B29" s="515">
        <v>15</v>
      </c>
      <c r="C29" s="225" t="s">
        <v>3980</v>
      </c>
      <c r="D29" s="225"/>
      <c r="E29" s="231"/>
      <c r="F29" s="232" t="s">
        <v>4265</v>
      </c>
      <c r="G29" s="235">
        <f>SUM(H29:DC29)</f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2:107" ht="15" customHeight="1" x14ac:dyDescent="0.25">
      <c r="B30" s="515">
        <v>16</v>
      </c>
      <c r="C30" s="225" t="s">
        <v>4205</v>
      </c>
      <c r="D30" s="225"/>
      <c r="E30" s="231" t="s">
        <v>3857</v>
      </c>
      <c r="F30" s="232" t="s">
        <v>4233</v>
      </c>
      <c r="G30" s="554">
        <f>SUM(H30:DC30)</f>
        <v>0</v>
      </c>
      <c r="H30" s="236">
        <f>IF(H28=0,0,((H27*0.293*H29)/(1000*H28)))</f>
        <v>0</v>
      </c>
      <c r="I30" s="236">
        <f t="shared" ref="I30:Z30" si="23">IF(I28=0,0,((I27*0.293*I29)/(1000*I28)))</f>
        <v>0</v>
      </c>
      <c r="J30" s="236">
        <f t="shared" si="23"/>
        <v>0</v>
      </c>
      <c r="K30" s="236">
        <f t="shared" si="23"/>
        <v>0</v>
      </c>
      <c r="L30" s="236">
        <f t="shared" si="23"/>
        <v>0</v>
      </c>
      <c r="M30" s="236">
        <f t="shared" si="23"/>
        <v>0</v>
      </c>
      <c r="N30" s="236">
        <f t="shared" si="23"/>
        <v>0</v>
      </c>
      <c r="O30" s="236">
        <f t="shared" si="23"/>
        <v>0</v>
      </c>
      <c r="P30" s="236">
        <f t="shared" si="23"/>
        <v>0</v>
      </c>
      <c r="Q30" s="236">
        <f t="shared" si="23"/>
        <v>0</v>
      </c>
      <c r="R30" s="236">
        <f t="shared" si="23"/>
        <v>0</v>
      </c>
      <c r="S30" s="236">
        <f t="shared" si="23"/>
        <v>0</v>
      </c>
      <c r="T30" s="236">
        <f t="shared" si="23"/>
        <v>0</v>
      </c>
      <c r="U30" s="236">
        <f t="shared" si="23"/>
        <v>0</v>
      </c>
      <c r="V30" s="236">
        <f t="shared" si="23"/>
        <v>0</v>
      </c>
      <c r="W30" s="236">
        <f t="shared" si="23"/>
        <v>0</v>
      </c>
      <c r="X30" s="236">
        <f t="shared" si="23"/>
        <v>0</v>
      </c>
      <c r="Y30" s="236">
        <f t="shared" si="23"/>
        <v>0</v>
      </c>
      <c r="Z30" s="236">
        <f t="shared" si="23"/>
        <v>0</v>
      </c>
      <c r="AA30" s="236">
        <f t="shared" ref="AA30:CL30" si="24">IF(AA28=0,0,((AA27*0.293*AA29)/(1000*AA28)))</f>
        <v>0</v>
      </c>
      <c r="AB30" s="236">
        <f t="shared" si="24"/>
        <v>0</v>
      </c>
      <c r="AC30" s="236">
        <f t="shared" si="24"/>
        <v>0</v>
      </c>
      <c r="AD30" s="236">
        <f t="shared" si="24"/>
        <v>0</v>
      </c>
      <c r="AE30" s="236">
        <f t="shared" si="24"/>
        <v>0</v>
      </c>
      <c r="AF30" s="236">
        <f t="shared" si="24"/>
        <v>0</v>
      </c>
      <c r="AG30" s="236">
        <f t="shared" si="24"/>
        <v>0</v>
      </c>
      <c r="AH30" s="236">
        <f t="shared" si="24"/>
        <v>0</v>
      </c>
      <c r="AI30" s="236">
        <f t="shared" si="24"/>
        <v>0</v>
      </c>
      <c r="AJ30" s="236">
        <f t="shared" si="24"/>
        <v>0</v>
      </c>
      <c r="AK30" s="236">
        <f t="shared" si="24"/>
        <v>0</v>
      </c>
      <c r="AL30" s="236">
        <f t="shared" si="24"/>
        <v>0</v>
      </c>
      <c r="AM30" s="236">
        <f t="shared" si="24"/>
        <v>0</v>
      </c>
      <c r="AN30" s="236">
        <f t="shared" si="24"/>
        <v>0</v>
      </c>
      <c r="AO30" s="236">
        <f t="shared" si="24"/>
        <v>0</v>
      </c>
      <c r="AP30" s="236">
        <f t="shared" si="24"/>
        <v>0</v>
      </c>
      <c r="AQ30" s="236">
        <f t="shared" si="24"/>
        <v>0</v>
      </c>
      <c r="AR30" s="236">
        <f t="shared" si="24"/>
        <v>0</v>
      </c>
      <c r="AS30" s="236">
        <f t="shared" si="24"/>
        <v>0</v>
      </c>
      <c r="AT30" s="236">
        <f t="shared" si="24"/>
        <v>0</v>
      </c>
      <c r="AU30" s="236">
        <f t="shared" si="24"/>
        <v>0</v>
      </c>
      <c r="AV30" s="236">
        <f t="shared" si="24"/>
        <v>0</v>
      </c>
      <c r="AW30" s="236">
        <f t="shared" si="24"/>
        <v>0</v>
      </c>
      <c r="AX30" s="236">
        <f t="shared" si="24"/>
        <v>0</v>
      </c>
      <c r="AY30" s="236">
        <f t="shared" si="24"/>
        <v>0</v>
      </c>
      <c r="AZ30" s="236">
        <f t="shared" si="24"/>
        <v>0</v>
      </c>
      <c r="BA30" s="236">
        <f t="shared" si="24"/>
        <v>0</v>
      </c>
      <c r="BB30" s="236">
        <f t="shared" si="24"/>
        <v>0</v>
      </c>
      <c r="BC30" s="236">
        <f t="shared" si="24"/>
        <v>0</v>
      </c>
      <c r="BD30" s="236">
        <f t="shared" si="24"/>
        <v>0</v>
      </c>
      <c r="BE30" s="236">
        <f t="shared" si="24"/>
        <v>0</v>
      </c>
      <c r="BF30" s="236">
        <f t="shared" si="24"/>
        <v>0</v>
      </c>
      <c r="BG30" s="236">
        <f t="shared" si="24"/>
        <v>0</v>
      </c>
      <c r="BH30" s="236">
        <f t="shared" si="24"/>
        <v>0</v>
      </c>
      <c r="BI30" s="236">
        <f t="shared" si="24"/>
        <v>0</v>
      </c>
      <c r="BJ30" s="236">
        <f t="shared" si="24"/>
        <v>0</v>
      </c>
      <c r="BK30" s="236">
        <f t="shared" si="24"/>
        <v>0</v>
      </c>
      <c r="BL30" s="236">
        <f t="shared" si="24"/>
        <v>0</v>
      </c>
      <c r="BM30" s="236">
        <f t="shared" si="24"/>
        <v>0</v>
      </c>
      <c r="BN30" s="236">
        <f t="shared" si="24"/>
        <v>0</v>
      </c>
      <c r="BO30" s="236">
        <f t="shared" si="24"/>
        <v>0</v>
      </c>
      <c r="BP30" s="236">
        <f t="shared" si="24"/>
        <v>0</v>
      </c>
      <c r="BQ30" s="236">
        <f t="shared" si="24"/>
        <v>0</v>
      </c>
      <c r="BR30" s="236">
        <f t="shared" si="24"/>
        <v>0</v>
      </c>
      <c r="BS30" s="236">
        <f t="shared" si="24"/>
        <v>0</v>
      </c>
      <c r="BT30" s="236">
        <f t="shared" si="24"/>
        <v>0</v>
      </c>
      <c r="BU30" s="236">
        <f t="shared" si="24"/>
        <v>0</v>
      </c>
      <c r="BV30" s="236">
        <f t="shared" si="24"/>
        <v>0</v>
      </c>
      <c r="BW30" s="236">
        <f t="shared" si="24"/>
        <v>0</v>
      </c>
      <c r="BX30" s="236">
        <f t="shared" si="24"/>
        <v>0</v>
      </c>
      <c r="BY30" s="236">
        <f t="shared" si="24"/>
        <v>0</v>
      </c>
      <c r="BZ30" s="236">
        <f t="shared" si="24"/>
        <v>0</v>
      </c>
      <c r="CA30" s="236">
        <f t="shared" si="24"/>
        <v>0</v>
      </c>
      <c r="CB30" s="236">
        <f t="shared" si="24"/>
        <v>0</v>
      </c>
      <c r="CC30" s="236">
        <f t="shared" si="24"/>
        <v>0</v>
      </c>
      <c r="CD30" s="236">
        <f t="shared" si="24"/>
        <v>0</v>
      </c>
      <c r="CE30" s="236">
        <f t="shared" si="24"/>
        <v>0</v>
      </c>
      <c r="CF30" s="236">
        <f t="shared" si="24"/>
        <v>0</v>
      </c>
      <c r="CG30" s="236">
        <f t="shared" si="24"/>
        <v>0</v>
      </c>
      <c r="CH30" s="236">
        <f t="shared" si="24"/>
        <v>0</v>
      </c>
      <c r="CI30" s="236">
        <f t="shared" si="24"/>
        <v>0</v>
      </c>
      <c r="CJ30" s="236">
        <f t="shared" si="24"/>
        <v>0</v>
      </c>
      <c r="CK30" s="236">
        <f t="shared" si="24"/>
        <v>0</v>
      </c>
      <c r="CL30" s="236">
        <f t="shared" si="24"/>
        <v>0</v>
      </c>
      <c r="CM30" s="236">
        <f t="shared" ref="CM30:DC30" si="25">IF(CM28=0,0,((CM27*0.293*CM29)/(1000*CM28)))</f>
        <v>0</v>
      </c>
      <c r="CN30" s="236">
        <f t="shared" si="25"/>
        <v>0</v>
      </c>
      <c r="CO30" s="236">
        <f t="shared" si="25"/>
        <v>0</v>
      </c>
      <c r="CP30" s="236">
        <f t="shared" si="25"/>
        <v>0</v>
      </c>
      <c r="CQ30" s="236">
        <f t="shared" si="25"/>
        <v>0</v>
      </c>
      <c r="CR30" s="236">
        <f t="shared" si="25"/>
        <v>0</v>
      </c>
      <c r="CS30" s="236">
        <f t="shared" si="25"/>
        <v>0</v>
      </c>
      <c r="CT30" s="236">
        <f t="shared" si="25"/>
        <v>0</v>
      </c>
      <c r="CU30" s="236">
        <f t="shared" si="25"/>
        <v>0</v>
      </c>
      <c r="CV30" s="236">
        <f t="shared" si="25"/>
        <v>0</v>
      </c>
      <c r="CW30" s="236">
        <f t="shared" si="25"/>
        <v>0</v>
      </c>
      <c r="CX30" s="236">
        <f t="shared" si="25"/>
        <v>0</v>
      </c>
      <c r="CY30" s="236">
        <f t="shared" si="25"/>
        <v>0</v>
      </c>
      <c r="CZ30" s="236">
        <f t="shared" si="25"/>
        <v>0</v>
      </c>
      <c r="DA30" s="236">
        <f t="shared" si="25"/>
        <v>0</v>
      </c>
      <c r="DB30" s="236">
        <f t="shared" si="25"/>
        <v>0</v>
      </c>
      <c r="DC30" s="236">
        <f t="shared" si="25"/>
        <v>0</v>
      </c>
    </row>
    <row r="31" spans="2:107" ht="15" customHeight="1" x14ac:dyDescent="0.25">
      <c r="B31" s="899">
        <v>17</v>
      </c>
      <c r="C31" s="225" t="s">
        <v>4317</v>
      </c>
      <c r="D31" s="225"/>
      <c r="E31" s="231"/>
      <c r="F31" s="232" t="s">
        <v>4713</v>
      </c>
      <c r="G31" s="237" t="str">
        <f>IF(COUNTA(H31:DC31)=0,"",IF(OR(LARGE(H31:DC31,1)&gt;1,SMALL(H31:DC31,1)&lt;0),"ERRO",""))</f>
        <v/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</row>
    <row r="32" spans="2:107" ht="15" customHeight="1" x14ac:dyDescent="0.25">
      <c r="B32" s="901"/>
      <c r="C32" s="225" t="s">
        <v>4459</v>
      </c>
      <c r="D32" s="225"/>
      <c r="E32" s="231" t="s">
        <v>3857</v>
      </c>
      <c r="F32" s="232" t="s">
        <v>4464</v>
      </c>
      <c r="G32" s="554">
        <f>SUM(H32:DC32)</f>
        <v>0</v>
      </c>
      <c r="H32" s="236">
        <f>H30*H31</f>
        <v>0</v>
      </c>
      <c r="I32" s="236">
        <f t="shared" ref="I32:Z32" si="26">I30*I31</f>
        <v>0</v>
      </c>
      <c r="J32" s="236">
        <f t="shared" si="26"/>
        <v>0</v>
      </c>
      <c r="K32" s="236">
        <f t="shared" si="26"/>
        <v>0</v>
      </c>
      <c r="L32" s="236">
        <f t="shared" si="26"/>
        <v>0</v>
      </c>
      <c r="M32" s="236">
        <f t="shared" si="26"/>
        <v>0</v>
      </c>
      <c r="N32" s="236">
        <f t="shared" si="26"/>
        <v>0</v>
      </c>
      <c r="O32" s="236">
        <f t="shared" si="26"/>
        <v>0</v>
      </c>
      <c r="P32" s="236">
        <f t="shared" si="26"/>
        <v>0</v>
      </c>
      <c r="Q32" s="236">
        <f t="shared" si="26"/>
        <v>0</v>
      </c>
      <c r="R32" s="236">
        <f t="shared" si="26"/>
        <v>0</v>
      </c>
      <c r="S32" s="236">
        <f t="shared" si="26"/>
        <v>0</v>
      </c>
      <c r="T32" s="236">
        <f t="shared" si="26"/>
        <v>0</v>
      </c>
      <c r="U32" s="236">
        <f t="shared" si="26"/>
        <v>0</v>
      </c>
      <c r="V32" s="236">
        <f t="shared" si="26"/>
        <v>0</v>
      </c>
      <c r="W32" s="236">
        <f t="shared" si="26"/>
        <v>0</v>
      </c>
      <c r="X32" s="236">
        <f t="shared" si="26"/>
        <v>0</v>
      </c>
      <c r="Y32" s="236">
        <f t="shared" si="26"/>
        <v>0</v>
      </c>
      <c r="Z32" s="236">
        <f t="shared" si="26"/>
        <v>0</v>
      </c>
      <c r="AA32" s="236">
        <f t="shared" ref="AA32:CL32" si="27">AA30*AA31</f>
        <v>0</v>
      </c>
      <c r="AB32" s="236">
        <f t="shared" si="27"/>
        <v>0</v>
      </c>
      <c r="AC32" s="236">
        <f t="shared" si="27"/>
        <v>0</v>
      </c>
      <c r="AD32" s="236">
        <f t="shared" si="27"/>
        <v>0</v>
      </c>
      <c r="AE32" s="236">
        <f t="shared" si="27"/>
        <v>0</v>
      </c>
      <c r="AF32" s="236">
        <f t="shared" si="27"/>
        <v>0</v>
      </c>
      <c r="AG32" s="236">
        <f t="shared" si="27"/>
        <v>0</v>
      </c>
      <c r="AH32" s="236">
        <f t="shared" si="27"/>
        <v>0</v>
      </c>
      <c r="AI32" s="236">
        <f t="shared" si="27"/>
        <v>0</v>
      </c>
      <c r="AJ32" s="236">
        <f t="shared" si="27"/>
        <v>0</v>
      </c>
      <c r="AK32" s="236">
        <f t="shared" si="27"/>
        <v>0</v>
      </c>
      <c r="AL32" s="236">
        <f t="shared" si="27"/>
        <v>0</v>
      </c>
      <c r="AM32" s="236">
        <f t="shared" si="27"/>
        <v>0</v>
      </c>
      <c r="AN32" s="236">
        <f t="shared" si="27"/>
        <v>0</v>
      </c>
      <c r="AO32" s="236">
        <f t="shared" si="27"/>
        <v>0</v>
      </c>
      <c r="AP32" s="236">
        <f t="shared" si="27"/>
        <v>0</v>
      </c>
      <c r="AQ32" s="236">
        <f t="shared" si="27"/>
        <v>0</v>
      </c>
      <c r="AR32" s="236">
        <f t="shared" si="27"/>
        <v>0</v>
      </c>
      <c r="AS32" s="236">
        <f t="shared" si="27"/>
        <v>0</v>
      </c>
      <c r="AT32" s="236">
        <f t="shared" si="27"/>
        <v>0</v>
      </c>
      <c r="AU32" s="236">
        <f t="shared" si="27"/>
        <v>0</v>
      </c>
      <c r="AV32" s="236">
        <f t="shared" si="27"/>
        <v>0</v>
      </c>
      <c r="AW32" s="236">
        <f t="shared" si="27"/>
        <v>0</v>
      </c>
      <c r="AX32" s="236">
        <f t="shared" si="27"/>
        <v>0</v>
      </c>
      <c r="AY32" s="236">
        <f t="shared" si="27"/>
        <v>0</v>
      </c>
      <c r="AZ32" s="236">
        <f t="shared" si="27"/>
        <v>0</v>
      </c>
      <c r="BA32" s="236">
        <f t="shared" si="27"/>
        <v>0</v>
      </c>
      <c r="BB32" s="236">
        <f t="shared" si="27"/>
        <v>0</v>
      </c>
      <c r="BC32" s="236">
        <f t="shared" si="27"/>
        <v>0</v>
      </c>
      <c r="BD32" s="236">
        <f t="shared" si="27"/>
        <v>0</v>
      </c>
      <c r="BE32" s="236">
        <f t="shared" si="27"/>
        <v>0</v>
      </c>
      <c r="BF32" s="236">
        <f t="shared" si="27"/>
        <v>0</v>
      </c>
      <c r="BG32" s="236">
        <f t="shared" si="27"/>
        <v>0</v>
      </c>
      <c r="BH32" s="236">
        <f t="shared" si="27"/>
        <v>0</v>
      </c>
      <c r="BI32" s="236">
        <f t="shared" si="27"/>
        <v>0</v>
      </c>
      <c r="BJ32" s="236">
        <f t="shared" si="27"/>
        <v>0</v>
      </c>
      <c r="BK32" s="236">
        <f t="shared" si="27"/>
        <v>0</v>
      </c>
      <c r="BL32" s="236">
        <f t="shared" si="27"/>
        <v>0</v>
      </c>
      <c r="BM32" s="236">
        <f t="shared" si="27"/>
        <v>0</v>
      </c>
      <c r="BN32" s="236">
        <f t="shared" si="27"/>
        <v>0</v>
      </c>
      <c r="BO32" s="236">
        <f t="shared" si="27"/>
        <v>0</v>
      </c>
      <c r="BP32" s="236">
        <f t="shared" si="27"/>
        <v>0</v>
      </c>
      <c r="BQ32" s="236">
        <f t="shared" si="27"/>
        <v>0</v>
      </c>
      <c r="BR32" s="236">
        <f t="shared" si="27"/>
        <v>0</v>
      </c>
      <c r="BS32" s="236">
        <f t="shared" si="27"/>
        <v>0</v>
      </c>
      <c r="BT32" s="236">
        <f t="shared" si="27"/>
        <v>0</v>
      </c>
      <c r="BU32" s="236">
        <f t="shared" si="27"/>
        <v>0</v>
      </c>
      <c r="BV32" s="236">
        <f t="shared" si="27"/>
        <v>0</v>
      </c>
      <c r="BW32" s="236">
        <f t="shared" si="27"/>
        <v>0</v>
      </c>
      <c r="BX32" s="236">
        <f t="shared" si="27"/>
        <v>0</v>
      </c>
      <c r="BY32" s="236">
        <f t="shared" si="27"/>
        <v>0</v>
      </c>
      <c r="BZ32" s="236">
        <f t="shared" si="27"/>
        <v>0</v>
      </c>
      <c r="CA32" s="236">
        <f t="shared" si="27"/>
        <v>0</v>
      </c>
      <c r="CB32" s="236">
        <f t="shared" si="27"/>
        <v>0</v>
      </c>
      <c r="CC32" s="236">
        <f t="shared" si="27"/>
        <v>0</v>
      </c>
      <c r="CD32" s="236">
        <f t="shared" si="27"/>
        <v>0</v>
      </c>
      <c r="CE32" s="236">
        <f t="shared" si="27"/>
        <v>0</v>
      </c>
      <c r="CF32" s="236">
        <f t="shared" si="27"/>
        <v>0</v>
      </c>
      <c r="CG32" s="236">
        <f t="shared" si="27"/>
        <v>0</v>
      </c>
      <c r="CH32" s="236">
        <f t="shared" si="27"/>
        <v>0</v>
      </c>
      <c r="CI32" s="236">
        <f t="shared" si="27"/>
        <v>0</v>
      </c>
      <c r="CJ32" s="236">
        <f t="shared" si="27"/>
        <v>0</v>
      </c>
      <c r="CK32" s="236">
        <f t="shared" si="27"/>
        <v>0</v>
      </c>
      <c r="CL32" s="236">
        <f t="shared" si="27"/>
        <v>0</v>
      </c>
      <c r="CM32" s="236">
        <f t="shared" ref="CM32:DC32" si="28">CM30*CM31</f>
        <v>0</v>
      </c>
      <c r="CN32" s="236">
        <f t="shared" si="28"/>
        <v>0</v>
      </c>
      <c r="CO32" s="236">
        <f t="shared" si="28"/>
        <v>0</v>
      </c>
      <c r="CP32" s="236">
        <f t="shared" si="28"/>
        <v>0</v>
      </c>
      <c r="CQ32" s="236">
        <f t="shared" si="28"/>
        <v>0</v>
      </c>
      <c r="CR32" s="236">
        <f t="shared" si="28"/>
        <v>0</v>
      </c>
      <c r="CS32" s="236">
        <f t="shared" si="28"/>
        <v>0</v>
      </c>
      <c r="CT32" s="236">
        <f t="shared" si="28"/>
        <v>0</v>
      </c>
      <c r="CU32" s="236">
        <f t="shared" si="28"/>
        <v>0</v>
      </c>
      <c r="CV32" s="236">
        <f t="shared" si="28"/>
        <v>0</v>
      </c>
      <c r="CW32" s="236">
        <f t="shared" si="28"/>
        <v>0</v>
      </c>
      <c r="CX32" s="236">
        <f t="shared" si="28"/>
        <v>0</v>
      </c>
      <c r="CY32" s="236">
        <f t="shared" si="28"/>
        <v>0</v>
      </c>
      <c r="CZ32" s="236">
        <f t="shared" si="28"/>
        <v>0</v>
      </c>
      <c r="DA32" s="236">
        <f t="shared" si="28"/>
        <v>0</v>
      </c>
      <c r="DB32" s="236">
        <f t="shared" si="28"/>
        <v>0</v>
      </c>
      <c r="DC32" s="236">
        <f t="shared" si="28"/>
        <v>0</v>
      </c>
    </row>
    <row r="33" spans="2:107" ht="15" customHeight="1" x14ac:dyDescent="0.25">
      <c r="B33" s="899">
        <v>18</v>
      </c>
      <c r="C33" s="225" t="s">
        <v>4207</v>
      </c>
      <c r="D33" s="225"/>
      <c r="E33" s="231" t="s">
        <v>4208</v>
      </c>
      <c r="F33" s="232"/>
      <c r="G33" s="237" t="str">
        <f>IF(COUNTA(H33:DC33)=0,"",IF(OR(LARGE(H33:DC33,1)&gt;24,SMALL(H33:DC33,1)&lt;0),"ERRO",""))</f>
        <v/>
      </c>
      <c r="H33" s="470">
        <f t="shared" ref="H33:AM33" si="29">H12</f>
        <v>0</v>
      </c>
      <c r="I33" s="470">
        <f t="shared" si="29"/>
        <v>0</v>
      </c>
      <c r="J33" s="470">
        <f t="shared" si="29"/>
        <v>0</v>
      </c>
      <c r="K33" s="470">
        <f t="shared" si="29"/>
        <v>0</v>
      </c>
      <c r="L33" s="470">
        <f t="shared" si="29"/>
        <v>0</v>
      </c>
      <c r="M33" s="470">
        <f t="shared" si="29"/>
        <v>0</v>
      </c>
      <c r="N33" s="470">
        <f t="shared" si="29"/>
        <v>0</v>
      </c>
      <c r="O33" s="470">
        <f t="shared" si="29"/>
        <v>0</v>
      </c>
      <c r="P33" s="470">
        <f t="shared" si="29"/>
        <v>0</v>
      </c>
      <c r="Q33" s="470">
        <f t="shared" si="29"/>
        <v>0</v>
      </c>
      <c r="R33" s="470">
        <f t="shared" si="29"/>
        <v>0</v>
      </c>
      <c r="S33" s="470">
        <f t="shared" si="29"/>
        <v>0</v>
      </c>
      <c r="T33" s="470">
        <f t="shared" si="29"/>
        <v>0</v>
      </c>
      <c r="U33" s="470">
        <f t="shared" si="29"/>
        <v>0</v>
      </c>
      <c r="V33" s="470">
        <f t="shared" si="29"/>
        <v>0</v>
      </c>
      <c r="W33" s="470">
        <f t="shared" si="29"/>
        <v>0</v>
      </c>
      <c r="X33" s="470">
        <f t="shared" si="29"/>
        <v>0</v>
      </c>
      <c r="Y33" s="470">
        <f t="shared" si="29"/>
        <v>0</v>
      </c>
      <c r="Z33" s="470">
        <f t="shared" si="29"/>
        <v>0</v>
      </c>
      <c r="AA33" s="470">
        <f t="shared" si="29"/>
        <v>0</v>
      </c>
      <c r="AB33" s="470">
        <f t="shared" si="29"/>
        <v>0</v>
      </c>
      <c r="AC33" s="470">
        <f t="shared" si="29"/>
        <v>0</v>
      </c>
      <c r="AD33" s="470">
        <f t="shared" si="29"/>
        <v>0</v>
      </c>
      <c r="AE33" s="470">
        <f t="shared" si="29"/>
        <v>0</v>
      </c>
      <c r="AF33" s="470">
        <f t="shared" si="29"/>
        <v>0</v>
      </c>
      <c r="AG33" s="470">
        <f t="shared" si="29"/>
        <v>0</v>
      </c>
      <c r="AH33" s="470">
        <f t="shared" si="29"/>
        <v>0</v>
      </c>
      <c r="AI33" s="470">
        <f t="shared" si="29"/>
        <v>0</v>
      </c>
      <c r="AJ33" s="470">
        <f t="shared" si="29"/>
        <v>0</v>
      </c>
      <c r="AK33" s="470">
        <f t="shared" si="29"/>
        <v>0</v>
      </c>
      <c r="AL33" s="470">
        <f t="shared" si="29"/>
        <v>0</v>
      </c>
      <c r="AM33" s="470">
        <f t="shared" si="29"/>
        <v>0</v>
      </c>
      <c r="AN33" s="470">
        <f t="shared" ref="AN33:BS33" si="30">AN12</f>
        <v>0</v>
      </c>
      <c r="AO33" s="470">
        <f t="shared" si="30"/>
        <v>0</v>
      </c>
      <c r="AP33" s="470">
        <f t="shared" si="30"/>
        <v>0</v>
      </c>
      <c r="AQ33" s="470">
        <f t="shared" si="30"/>
        <v>0</v>
      </c>
      <c r="AR33" s="470">
        <f t="shared" si="30"/>
        <v>0</v>
      </c>
      <c r="AS33" s="470">
        <f t="shared" si="30"/>
        <v>0</v>
      </c>
      <c r="AT33" s="470">
        <f t="shared" si="30"/>
        <v>0</v>
      </c>
      <c r="AU33" s="470">
        <f t="shared" si="30"/>
        <v>0</v>
      </c>
      <c r="AV33" s="470">
        <f t="shared" si="30"/>
        <v>0</v>
      </c>
      <c r="AW33" s="470">
        <f t="shared" si="30"/>
        <v>0</v>
      </c>
      <c r="AX33" s="470">
        <f t="shared" si="30"/>
        <v>0</v>
      </c>
      <c r="AY33" s="470">
        <f t="shared" si="30"/>
        <v>0</v>
      </c>
      <c r="AZ33" s="470">
        <f t="shared" si="30"/>
        <v>0</v>
      </c>
      <c r="BA33" s="470">
        <f t="shared" si="30"/>
        <v>0</v>
      </c>
      <c r="BB33" s="470">
        <f t="shared" si="30"/>
        <v>0</v>
      </c>
      <c r="BC33" s="470">
        <f t="shared" si="30"/>
        <v>0</v>
      </c>
      <c r="BD33" s="470">
        <f t="shared" si="30"/>
        <v>0</v>
      </c>
      <c r="BE33" s="470">
        <f t="shared" si="30"/>
        <v>0</v>
      </c>
      <c r="BF33" s="470">
        <f t="shared" si="30"/>
        <v>0</v>
      </c>
      <c r="BG33" s="470">
        <f t="shared" si="30"/>
        <v>0</v>
      </c>
      <c r="BH33" s="470">
        <f t="shared" si="30"/>
        <v>0</v>
      </c>
      <c r="BI33" s="470">
        <f t="shared" si="30"/>
        <v>0</v>
      </c>
      <c r="BJ33" s="470">
        <f t="shared" si="30"/>
        <v>0</v>
      </c>
      <c r="BK33" s="470">
        <f t="shared" si="30"/>
        <v>0</v>
      </c>
      <c r="BL33" s="470">
        <f t="shared" si="30"/>
        <v>0</v>
      </c>
      <c r="BM33" s="470">
        <f t="shared" si="30"/>
        <v>0</v>
      </c>
      <c r="BN33" s="470">
        <f t="shared" si="30"/>
        <v>0</v>
      </c>
      <c r="BO33" s="470">
        <f t="shared" si="30"/>
        <v>0</v>
      </c>
      <c r="BP33" s="470">
        <f t="shared" si="30"/>
        <v>0</v>
      </c>
      <c r="BQ33" s="470">
        <f t="shared" si="30"/>
        <v>0</v>
      </c>
      <c r="BR33" s="470">
        <f t="shared" si="30"/>
        <v>0</v>
      </c>
      <c r="BS33" s="470">
        <f t="shared" si="30"/>
        <v>0</v>
      </c>
      <c r="BT33" s="470">
        <f t="shared" ref="BT33:DC33" si="31">BT12</f>
        <v>0</v>
      </c>
      <c r="BU33" s="470">
        <f t="shared" si="31"/>
        <v>0</v>
      </c>
      <c r="BV33" s="470">
        <f t="shared" si="31"/>
        <v>0</v>
      </c>
      <c r="BW33" s="470">
        <f t="shared" si="31"/>
        <v>0</v>
      </c>
      <c r="BX33" s="470">
        <f t="shared" si="31"/>
        <v>0</v>
      </c>
      <c r="BY33" s="470">
        <f t="shared" si="31"/>
        <v>0</v>
      </c>
      <c r="BZ33" s="470">
        <f t="shared" si="31"/>
        <v>0</v>
      </c>
      <c r="CA33" s="470">
        <f t="shared" si="31"/>
        <v>0</v>
      </c>
      <c r="CB33" s="470">
        <f t="shared" si="31"/>
        <v>0</v>
      </c>
      <c r="CC33" s="470">
        <f t="shared" si="31"/>
        <v>0</v>
      </c>
      <c r="CD33" s="470">
        <f t="shared" si="31"/>
        <v>0</v>
      </c>
      <c r="CE33" s="470">
        <f t="shared" si="31"/>
        <v>0</v>
      </c>
      <c r="CF33" s="470">
        <f t="shared" si="31"/>
        <v>0</v>
      </c>
      <c r="CG33" s="470">
        <f t="shared" si="31"/>
        <v>0</v>
      </c>
      <c r="CH33" s="470">
        <f t="shared" si="31"/>
        <v>0</v>
      </c>
      <c r="CI33" s="470">
        <f t="shared" si="31"/>
        <v>0</v>
      </c>
      <c r="CJ33" s="470">
        <f t="shared" si="31"/>
        <v>0</v>
      </c>
      <c r="CK33" s="470">
        <f t="shared" si="31"/>
        <v>0</v>
      </c>
      <c r="CL33" s="470">
        <f t="shared" si="31"/>
        <v>0</v>
      </c>
      <c r="CM33" s="470">
        <f t="shared" si="31"/>
        <v>0</v>
      </c>
      <c r="CN33" s="470">
        <f t="shared" si="31"/>
        <v>0</v>
      </c>
      <c r="CO33" s="470">
        <f t="shared" si="31"/>
        <v>0</v>
      </c>
      <c r="CP33" s="470">
        <f t="shared" si="31"/>
        <v>0</v>
      </c>
      <c r="CQ33" s="470">
        <f t="shared" si="31"/>
        <v>0</v>
      </c>
      <c r="CR33" s="470">
        <f t="shared" si="31"/>
        <v>0</v>
      </c>
      <c r="CS33" s="470">
        <f t="shared" si="31"/>
        <v>0</v>
      </c>
      <c r="CT33" s="470">
        <f t="shared" si="31"/>
        <v>0</v>
      </c>
      <c r="CU33" s="470">
        <f t="shared" si="31"/>
        <v>0</v>
      </c>
      <c r="CV33" s="470">
        <f t="shared" si="31"/>
        <v>0</v>
      </c>
      <c r="CW33" s="470">
        <f t="shared" si="31"/>
        <v>0</v>
      </c>
      <c r="CX33" s="470">
        <f t="shared" si="31"/>
        <v>0</v>
      </c>
      <c r="CY33" s="470">
        <f t="shared" si="31"/>
        <v>0</v>
      </c>
      <c r="CZ33" s="470">
        <f t="shared" si="31"/>
        <v>0</v>
      </c>
      <c r="DA33" s="470">
        <f t="shared" si="31"/>
        <v>0</v>
      </c>
      <c r="DB33" s="470">
        <f t="shared" si="31"/>
        <v>0</v>
      </c>
      <c r="DC33" s="470">
        <f t="shared" si="31"/>
        <v>0</v>
      </c>
    </row>
    <row r="34" spans="2:107" ht="15" customHeight="1" x14ac:dyDescent="0.25">
      <c r="B34" s="900"/>
      <c r="C34" s="239" t="s">
        <v>4209</v>
      </c>
      <c r="D34" s="239"/>
      <c r="E34" s="558" t="s">
        <v>4210</v>
      </c>
      <c r="F34" s="232"/>
      <c r="G34" s="237" t="str">
        <f>IF(COUNTA(H34:DC34)=0,"",IF(OR(LARGE(H34:DC34,1)&gt;365,SMALL(H34:DC34,1)&lt;0),"ERRO",""))</f>
        <v/>
      </c>
      <c r="H34" s="470">
        <f t="shared" ref="H34:AM34" si="32">H13</f>
        <v>0</v>
      </c>
      <c r="I34" s="470">
        <f t="shared" si="32"/>
        <v>0</v>
      </c>
      <c r="J34" s="470">
        <f t="shared" si="32"/>
        <v>0</v>
      </c>
      <c r="K34" s="470">
        <f t="shared" si="32"/>
        <v>0</v>
      </c>
      <c r="L34" s="470">
        <f t="shared" si="32"/>
        <v>0</v>
      </c>
      <c r="M34" s="470">
        <f t="shared" si="32"/>
        <v>0</v>
      </c>
      <c r="N34" s="470">
        <f t="shared" si="32"/>
        <v>0</v>
      </c>
      <c r="O34" s="470">
        <f t="shared" si="32"/>
        <v>0</v>
      </c>
      <c r="P34" s="470">
        <f t="shared" si="32"/>
        <v>0</v>
      </c>
      <c r="Q34" s="470">
        <f t="shared" si="32"/>
        <v>0</v>
      </c>
      <c r="R34" s="470">
        <f t="shared" si="32"/>
        <v>0</v>
      </c>
      <c r="S34" s="470">
        <f t="shared" si="32"/>
        <v>0</v>
      </c>
      <c r="T34" s="470">
        <f t="shared" si="32"/>
        <v>0</v>
      </c>
      <c r="U34" s="470">
        <f t="shared" si="32"/>
        <v>0</v>
      </c>
      <c r="V34" s="470">
        <f t="shared" si="32"/>
        <v>0</v>
      </c>
      <c r="W34" s="470">
        <f t="shared" si="32"/>
        <v>0</v>
      </c>
      <c r="X34" s="470">
        <f t="shared" si="32"/>
        <v>0</v>
      </c>
      <c r="Y34" s="470">
        <f t="shared" si="32"/>
        <v>0</v>
      </c>
      <c r="Z34" s="470">
        <f t="shared" si="32"/>
        <v>0</v>
      </c>
      <c r="AA34" s="470">
        <f t="shared" si="32"/>
        <v>0</v>
      </c>
      <c r="AB34" s="470">
        <f t="shared" si="32"/>
        <v>0</v>
      </c>
      <c r="AC34" s="470">
        <f t="shared" si="32"/>
        <v>0</v>
      </c>
      <c r="AD34" s="470">
        <f t="shared" si="32"/>
        <v>0</v>
      </c>
      <c r="AE34" s="470">
        <f t="shared" si="32"/>
        <v>0</v>
      </c>
      <c r="AF34" s="470">
        <f t="shared" si="32"/>
        <v>0</v>
      </c>
      <c r="AG34" s="470">
        <f t="shared" si="32"/>
        <v>0</v>
      </c>
      <c r="AH34" s="470">
        <f t="shared" si="32"/>
        <v>0</v>
      </c>
      <c r="AI34" s="470">
        <f t="shared" si="32"/>
        <v>0</v>
      </c>
      <c r="AJ34" s="470">
        <f t="shared" si="32"/>
        <v>0</v>
      </c>
      <c r="AK34" s="470">
        <f t="shared" si="32"/>
        <v>0</v>
      </c>
      <c r="AL34" s="470">
        <f t="shared" si="32"/>
        <v>0</v>
      </c>
      <c r="AM34" s="470">
        <f t="shared" si="32"/>
        <v>0</v>
      </c>
      <c r="AN34" s="470">
        <f t="shared" ref="AN34:BS34" si="33">AN13</f>
        <v>0</v>
      </c>
      <c r="AO34" s="470">
        <f t="shared" si="33"/>
        <v>0</v>
      </c>
      <c r="AP34" s="470">
        <f t="shared" si="33"/>
        <v>0</v>
      </c>
      <c r="AQ34" s="470">
        <f t="shared" si="33"/>
        <v>0</v>
      </c>
      <c r="AR34" s="470">
        <f t="shared" si="33"/>
        <v>0</v>
      </c>
      <c r="AS34" s="470">
        <f t="shared" si="33"/>
        <v>0</v>
      </c>
      <c r="AT34" s="470">
        <f t="shared" si="33"/>
        <v>0</v>
      </c>
      <c r="AU34" s="470">
        <f t="shared" si="33"/>
        <v>0</v>
      </c>
      <c r="AV34" s="470">
        <f t="shared" si="33"/>
        <v>0</v>
      </c>
      <c r="AW34" s="470">
        <f t="shared" si="33"/>
        <v>0</v>
      </c>
      <c r="AX34" s="470">
        <f t="shared" si="33"/>
        <v>0</v>
      </c>
      <c r="AY34" s="470">
        <f t="shared" si="33"/>
        <v>0</v>
      </c>
      <c r="AZ34" s="470">
        <f t="shared" si="33"/>
        <v>0</v>
      </c>
      <c r="BA34" s="470">
        <f t="shared" si="33"/>
        <v>0</v>
      </c>
      <c r="BB34" s="470">
        <f t="shared" si="33"/>
        <v>0</v>
      </c>
      <c r="BC34" s="470">
        <f t="shared" si="33"/>
        <v>0</v>
      </c>
      <c r="BD34" s="470">
        <f t="shared" si="33"/>
        <v>0</v>
      </c>
      <c r="BE34" s="470">
        <f t="shared" si="33"/>
        <v>0</v>
      </c>
      <c r="BF34" s="470">
        <f t="shared" si="33"/>
        <v>0</v>
      </c>
      <c r="BG34" s="470">
        <f t="shared" si="33"/>
        <v>0</v>
      </c>
      <c r="BH34" s="470">
        <f t="shared" si="33"/>
        <v>0</v>
      </c>
      <c r="BI34" s="470">
        <f t="shared" si="33"/>
        <v>0</v>
      </c>
      <c r="BJ34" s="470">
        <f t="shared" si="33"/>
        <v>0</v>
      </c>
      <c r="BK34" s="470">
        <f t="shared" si="33"/>
        <v>0</v>
      </c>
      <c r="BL34" s="470">
        <f t="shared" si="33"/>
        <v>0</v>
      </c>
      <c r="BM34" s="470">
        <f t="shared" si="33"/>
        <v>0</v>
      </c>
      <c r="BN34" s="470">
        <f t="shared" si="33"/>
        <v>0</v>
      </c>
      <c r="BO34" s="470">
        <f t="shared" si="33"/>
        <v>0</v>
      </c>
      <c r="BP34" s="470">
        <f t="shared" si="33"/>
        <v>0</v>
      </c>
      <c r="BQ34" s="470">
        <f t="shared" si="33"/>
        <v>0</v>
      </c>
      <c r="BR34" s="470">
        <f t="shared" si="33"/>
        <v>0</v>
      </c>
      <c r="BS34" s="470">
        <f t="shared" si="33"/>
        <v>0</v>
      </c>
      <c r="BT34" s="470">
        <f t="shared" ref="BT34:DC34" si="34">BT13</f>
        <v>0</v>
      </c>
      <c r="BU34" s="470">
        <f t="shared" si="34"/>
        <v>0</v>
      </c>
      <c r="BV34" s="470">
        <f t="shared" si="34"/>
        <v>0</v>
      </c>
      <c r="BW34" s="470">
        <f t="shared" si="34"/>
        <v>0</v>
      </c>
      <c r="BX34" s="470">
        <f t="shared" si="34"/>
        <v>0</v>
      </c>
      <c r="BY34" s="470">
        <f t="shared" si="34"/>
        <v>0</v>
      </c>
      <c r="BZ34" s="470">
        <f t="shared" si="34"/>
        <v>0</v>
      </c>
      <c r="CA34" s="470">
        <f t="shared" si="34"/>
        <v>0</v>
      </c>
      <c r="CB34" s="470">
        <f t="shared" si="34"/>
        <v>0</v>
      </c>
      <c r="CC34" s="470">
        <f t="shared" si="34"/>
        <v>0</v>
      </c>
      <c r="CD34" s="470">
        <f t="shared" si="34"/>
        <v>0</v>
      </c>
      <c r="CE34" s="470">
        <f t="shared" si="34"/>
        <v>0</v>
      </c>
      <c r="CF34" s="470">
        <f t="shared" si="34"/>
        <v>0</v>
      </c>
      <c r="CG34" s="470">
        <f t="shared" si="34"/>
        <v>0</v>
      </c>
      <c r="CH34" s="470">
        <f t="shared" si="34"/>
        <v>0</v>
      </c>
      <c r="CI34" s="470">
        <f t="shared" si="34"/>
        <v>0</v>
      </c>
      <c r="CJ34" s="470">
        <f t="shared" si="34"/>
        <v>0</v>
      </c>
      <c r="CK34" s="470">
        <f t="shared" si="34"/>
        <v>0</v>
      </c>
      <c r="CL34" s="470">
        <f t="shared" si="34"/>
        <v>0</v>
      </c>
      <c r="CM34" s="470">
        <f t="shared" si="34"/>
        <v>0</v>
      </c>
      <c r="CN34" s="470">
        <f t="shared" si="34"/>
        <v>0</v>
      </c>
      <c r="CO34" s="470">
        <f t="shared" si="34"/>
        <v>0</v>
      </c>
      <c r="CP34" s="470">
        <f t="shared" si="34"/>
        <v>0</v>
      </c>
      <c r="CQ34" s="470">
        <f t="shared" si="34"/>
        <v>0</v>
      </c>
      <c r="CR34" s="470">
        <f t="shared" si="34"/>
        <v>0</v>
      </c>
      <c r="CS34" s="470">
        <f t="shared" si="34"/>
        <v>0</v>
      </c>
      <c r="CT34" s="470">
        <f t="shared" si="34"/>
        <v>0</v>
      </c>
      <c r="CU34" s="470">
        <f t="shared" si="34"/>
        <v>0</v>
      </c>
      <c r="CV34" s="470">
        <f t="shared" si="34"/>
        <v>0</v>
      </c>
      <c r="CW34" s="470">
        <f t="shared" si="34"/>
        <v>0</v>
      </c>
      <c r="CX34" s="470">
        <f t="shared" si="34"/>
        <v>0</v>
      </c>
      <c r="CY34" s="470">
        <f t="shared" si="34"/>
        <v>0</v>
      </c>
      <c r="CZ34" s="470">
        <f t="shared" si="34"/>
        <v>0</v>
      </c>
      <c r="DA34" s="470">
        <f t="shared" si="34"/>
        <v>0</v>
      </c>
      <c r="DB34" s="470">
        <f t="shared" si="34"/>
        <v>0</v>
      </c>
      <c r="DC34" s="470">
        <f t="shared" si="34"/>
        <v>0</v>
      </c>
    </row>
    <row r="35" spans="2:107" ht="15" customHeight="1" x14ac:dyDescent="0.25">
      <c r="B35" s="901"/>
      <c r="C35" s="225" t="s">
        <v>4211</v>
      </c>
      <c r="D35" s="225"/>
      <c r="E35" s="231" t="s">
        <v>4212</v>
      </c>
      <c r="F35" s="232" t="s">
        <v>4234</v>
      </c>
      <c r="G35" s="237" t="str">
        <f>IF(COUNTA(H35:DC35)=0,"",IF(OR(LARGE(H35:DC35,1)&gt;8760,SMALL(H35:DC35,1)&lt;0),"ERRO",""))</f>
        <v/>
      </c>
      <c r="H35" s="241">
        <f>H33*H34</f>
        <v>0</v>
      </c>
      <c r="I35" s="241">
        <f t="shared" ref="I35:Z35" si="35">I33*I34</f>
        <v>0</v>
      </c>
      <c r="J35" s="241">
        <f t="shared" si="35"/>
        <v>0</v>
      </c>
      <c r="K35" s="241">
        <f t="shared" si="35"/>
        <v>0</v>
      </c>
      <c r="L35" s="241">
        <f t="shared" si="35"/>
        <v>0</v>
      </c>
      <c r="M35" s="241">
        <f t="shared" si="35"/>
        <v>0</v>
      </c>
      <c r="N35" s="241">
        <f t="shared" si="35"/>
        <v>0</v>
      </c>
      <c r="O35" s="241">
        <f t="shared" si="35"/>
        <v>0</v>
      </c>
      <c r="P35" s="241">
        <f t="shared" si="35"/>
        <v>0</v>
      </c>
      <c r="Q35" s="241">
        <f t="shared" si="35"/>
        <v>0</v>
      </c>
      <c r="R35" s="241">
        <f t="shared" si="35"/>
        <v>0</v>
      </c>
      <c r="S35" s="241">
        <f t="shared" si="35"/>
        <v>0</v>
      </c>
      <c r="T35" s="241">
        <f t="shared" si="35"/>
        <v>0</v>
      </c>
      <c r="U35" s="241">
        <f t="shared" si="35"/>
        <v>0</v>
      </c>
      <c r="V35" s="241">
        <f t="shared" si="35"/>
        <v>0</v>
      </c>
      <c r="W35" s="241">
        <f t="shared" si="35"/>
        <v>0</v>
      </c>
      <c r="X35" s="241">
        <f t="shared" si="35"/>
        <v>0</v>
      </c>
      <c r="Y35" s="241">
        <f t="shared" si="35"/>
        <v>0</v>
      </c>
      <c r="Z35" s="241">
        <f t="shared" si="35"/>
        <v>0</v>
      </c>
      <c r="AA35" s="241">
        <f t="shared" ref="AA35:CL35" si="36">AA33*AA34</f>
        <v>0</v>
      </c>
      <c r="AB35" s="241">
        <f t="shared" si="36"/>
        <v>0</v>
      </c>
      <c r="AC35" s="241">
        <f t="shared" si="36"/>
        <v>0</v>
      </c>
      <c r="AD35" s="241">
        <f t="shared" si="36"/>
        <v>0</v>
      </c>
      <c r="AE35" s="241">
        <f t="shared" si="36"/>
        <v>0</v>
      </c>
      <c r="AF35" s="241">
        <f t="shared" si="36"/>
        <v>0</v>
      </c>
      <c r="AG35" s="241">
        <f t="shared" si="36"/>
        <v>0</v>
      </c>
      <c r="AH35" s="241">
        <f t="shared" si="36"/>
        <v>0</v>
      </c>
      <c r="AI35" s="241">
        <f t="shared" si="36"/>
        <v>0</v>
      </c>
      <c r="AJ35" s="241">
        <f t="shared" si="36"/>
        <v>0</v>
      </c>
      <c r="AK35" s="241">
        <f t="shared" si="36"/>
        <v>0</v>
      </c>
      <c r="AL35" s="241">
        <f t="shared" si="36"/>
        <v>0</v>
      </c>
      <c r="AM35" s="241">
        <f t="shared" si="36"/>
        <v>0</v>
      </c>
      <c r="AN35" s="241">
        <f t="shared" si="36"/>
        <v>0</v>
      </c>
      <c r="AO35" s="241">
        <f t="shared" si="36"/>
        <v>0</v>
      </c>
      <c r="AP35" s="241">
        <f t="shared" si="36"/>
        <v>0</v>
      </c>
      <c r="AQ35" s="241">
        <f t="shared" si="36"/>
        <v>0</v>
      </c>
      <c r="AR35" s="241">
        <f t="shared" si="36"/>
        <v>0</v>
      </c>
      <c r="AS35" s="241">
        <f t="shared" si="36"/>
        <v>0</v>
      </c>
      <c r="AT35" s="241">
        <f t="shared" si="36"/>
        <v>0</v>
      </c>
      <c r="AU35" s="241">
        <f t="shared" si="36"/>
        <v>0</v>
      </c>
      <c r="AV35" s="241">
        <f t="shared" si="36"/>
        <v>0</v>
      </c>
      <c r="AW35" s="241">
        <f t="shared" si="36"/>
        <v>0</v>
      </c>
      <c r="AX35" s="241">
        <f t="shared" si="36"/>
        <v>0</v>
      </c>
      <c r="AY35" s="241">
        <f t="shared" si="36"/>
        <v>0</v>
      </c>
      <c r="AZ35" s="241">
        <f t="shared" si="36"/>
        <v>0</v>
      </c>
      <c r="BA35" s="241">
        <f t="shared" si="36"/>
        <v>0</v>
      </c>
      <c r="BB35" s="241">
        <f t="shared" si="36"/>
        <v>0</v>
      </c>
      <c r="BC35" s="241">
        <f t="shared" si="36"/>
        <v>0</v>
      </c>
      <c r="BD35" s="241">
        <f t="shared" si="36"/>
        <v>0</v>
      </c>
      <c r="BE35" s="241">
        <f t="shared" si="36"/>
        <v>0</v>
      </c>
      <c r="BF35" s="241">
        <f t="shared" si="36"/>
        <v>0</v>
      </c>
      <c r="BG35" s="241">
        <f t="shared" si="36"/>
        <v>0</v>
      </c>
      <c r="BH35" s="241">
        <f t="shared" si="36"/>
        <v>0</v>
      </c>
      <c r="BI35" s="241">
        <f t="shared" si="36"/>
        <v>0</v>
      </c>
      <c r="BJ35" s="241">
        <f t="shared" si="36"/>
        <v>0</v>
      </c>
      <c r="BK35" s="241">
        <f t="shared" si="36"/>
        <v>0</v>
      </c>
      <c r="BL35" s="241">
        <f t="shared" si="36"/>
        <v>0</v>
      </c>
      <c r="BM35" s="241">
        <f t="shared" si="36"/>
        <v>0</v>
      </c>
      <c r="BN35" s="241">
        <f t="shared" si="36"/>
        <v>0</v>
      </c>
      <c r="BO35" s="241">
        <f t="shared" si="36"/>
        <v>0</v>
      </c>
      <c r="BP35" s="241">
        <f t="shared" si="36"/>
        <v>0</v>
      </c>
      <c r="BQ35" s="241">
        <f t="shared" si="36"/>
        <v>0</v>
      </c>
      <c r="BR35" s="241">
        <f t="shared" si="36"/>
        <v>0</v>
      </c>
      <c r="BS35" s="241">
        <f t="shared" si="36"/>
        <v>0</v>
      </c>
      <c r="BT35" s="241">
        <f t="shared" si="36"/>
        <v>0</v>
      </c>
      <c r="BU35" s="241">
        <f t="shared" si="36"/>
        <v>0</v>
      </c>
      <c r="BV35" s="241">
        <f t="shared" si="36"/>
        <v>0</v>
      </c>
      <c r="BW35" s="241">
        <f t="shared" si="36"/>
        <v>0</v>
      </c>
      <c r="BX35" s="241">
        <f t="shared" si="36"/>
        <v>0</v>
      </c>
      <c r="BY35" s="241">
        <f t="shared" si="36"/>
        <v>0</v>
      </c>
      <c r="BZ35" s="241">
        <f t="shared" si="36"/>
        <v>0</v>
      </c>
      <c r="CA35" s="241">
        <f t="shared" si="36"/>
        <v>0</v>
      </c>
      <c r="CB35" s="241">
        <f t="shared" si="36"/>
        <v>0</v>
      </c>
      <c r="CC35" s="241">
        <f t="shared" si="36"/>
        <v>0</v>
      </c>
      <c r="CD35" s="241">
        <f t="shared" si="36"/>
        <v>0</v>
      </c>
      <c r="CE35" s="241">
        <f t="shared" si="36"/>
        <v>0</v>
      </c>
      <c r="CF35" s="241">
        <f t="shared" si="36"/>
        <v>0</v>
      </c>
      <c r="CG35" s="241">
        <f t="shared" si="36"/>
        <v>0</v>
      </c>
      <c r="CH35" s="241">
        <f t="shared" si="36"/>
        <v>0</v>
      </c>
      <c r="CI35" s="241">
        <f t="shared" si="36"/>
        <v>0</v>
      </c>
      <c r="CJ35" s="241">
        <f t="shared" si="36"/>
        <v>0</v>
      </c>
      <c r="CK35" s="241">
        <f t="shared" si="36"/>
        <v>0</v>
      </c>
      <c r="CL35" s="241">
        <f t="shared" si="36"/>
        <v>0</v>
      </c>
      <c r="CM35" s="241">
        <f t="shared" ref="CM35:DC35" si="37">CM33*CM34</f>
        <v>0</v>
      </c>
      <c r="CN35" s="241">
        <f t="shared" si="37"/>
        <v>0</v>
      </c>
      <c r="CO35" s="241">
        <f t="shared" si="37"/>
        <v>0</v>
      </c>
      <c r="CP35" s="241">
        <f t="shared" si="37"/>
        <v>0</v>
      </c>
      <c r="CQ35" s="241">
        <f t="shared" si="37"/>
        <v>0</v>
      </c>
      <c r="CR35" s="241">
        <f t="shared" si="37"/>
        <v>0</v>
      </c>
      <c r="CS35" s="241">
        <f t="shared" si="37"/>
        <v>0</v>
      </c>
      <c r="CT35" s="241">
        <f t="shared" si="37"/>
        <v>0</v>
      </c>
      <c r="CU35" s="241">
        <f t="shared" si="37"/>
        <v>0</v>
      </c>
      <c r="CV35" s="241">
        <f t="shared" si="37"/>
        <v>0</v>
      </c>
      <c r="CW35" s="241">
        <f t="shared" si="37"/>
        <v>0</v>
      </c>
      <c r="CX35" s="241">
        <f t="shared" si="37"/>
        <v>0</v>
      </c>
      <c r="CY35" s="241">
        <f t="shared" si="37"/>
        <v>0</v>
      </c>
      <c r="CZ35" s="241">
        <f t="shared" si="37"/>
        <v>0</v>
      </c>
      <c r="DA35" s="241">
        <f t="shared" si="37"/>
        <v>0</v>
      </c>
      <c r="DB35" s="241">
        <f t="shared" si="37"/>
        <v>0</v>
      </c>
      <c r="DC35" s="241">
        <f t="shared" si="37"/>
        <v>0</v>
      </c>
    </row>
    <row r="36" spans="2:107" ht="15" customHeight="1" x14ac:dyDescent="0.25">
      <c r="B36" s="899">
        <v>19</v>
      </c>
      <c r="C36" s="225" t="s">
        <v>4214</v>
      </c>
      <c r="D36" s="225"/>
      <c r="E36" s="231" t="s">
        <v>4208</v>
      </c>
      <c r="F36" s="232" t="s">
        <v>4235</v>
      </c>
      <c r="G36" s="555" t="str">
        <f>IF(COUNTA(H36:DC36)=0,"",IF(OR(LARGE(H36:DC36,1)&gt;3,SMALL(H36:DC36,1)&lt;0),"ERRO",""))</f>
        <v/>
      </c>
      <c r="H36" s="471">
        <f t="shared" ref="H36:AM36" si="38">H15</f>
        <v>0</v>
      </c>
      <c r="I36" s="471">
        <f t="shared" si="38"/>
        <v>0</v>
      </c>
      <c r="J36" s="471">
        <f t="shared" si="38"/>
        <v>0</v>
      </c>
      <c r="K36" s="471">
        <f t="shared" si="38"/>
        <v>0</v>
      </c>
      <c r="L36" s="471">
        <f t="shared" si="38"/>
        <v>0</v>
      </c>
      <c r="M36" s="471">
        <f t="shared" si="38"/>
        <v>0</v>
      </c>
      <c r="N36" s="471">
        <f t="shared" si="38"/>
        <v>0</v>
      </c>
      <c r="O36" s="471">
        <f t="shared" si="38"/>
        <v>0</v>
      </c>
      <c r="P36" s="471">
        <f t="shared" si="38"/>
        <v>0</v>
      </c>
      <c r="Q36" s="471">
        <f t="shared" si="38"/>
        <v>0</v>
      </c>
      <c r="R36" s="471">
        <f t="shared" si="38"/>
        <v>0</v>
      </c>
      <c r="S36" s="471">
        <f t="shared" si="38"/>
        <v>0</v>
      </c>
      <c r="T36" s="471">
        <f t="shared" si="38"/>
        <v>0</v>
      </c>
      <c r="U36" s="471">
        <f t="shared" si="38"/>
        <v>0</v>
      </c>
      <c r="V36" s="471">
        <f t="shared" si="38"/>
        <v>0</v>
      </c>
      <c r="W36" s="471">
        <f t="shared" si="38"/>
        <v>0</v>
      </c>
      <c r="X36" s="471">
        <f t="shared" si="38"/>
        <v>0</v>
      </c>
      <c r="Y36" s="471">
        <f t="shared" si="38"/>
        <v>0</v>
      </c>
      <c r="Z36" s="471">
        <f t="shared" si="38"/>
        <v>0</v>
      </c>
      <c r="AA36" s="471">
        <f t="shared" si="38"/>
        <v>0</v>
      </c>
      <c r="AB36" s="471">
        <f t="shared" si="38"/>
        <v>0</v>
      </c>
      <c r="AC36" s="471">
        <f t="shared" si="38"/>
        <v>0</v>
      </c>
      <c r="AD36" s="471">
        <f t="shared" si="38"/>
        <v>0</v>
      </c>
      <c r="AE36" s="471">
        <f t="shared" si="38"/>
        <v>0</v>
      </c>
      <c r="AF36" s="471">
        <f t="shared" si="38"/>
        <v>0</v>
      </c>
      <c r="AG36" s="471">
        <f t="shared" si="38"/>
        <v>0</v>
      </c>
      <c r="AH36" s="471">
        <f t="shared" si="38"/>
        <v>0</v>
      </c>
      <c r="AI36" s="471">
        <f t="shared" si="38"/>
        <v>0</v>
      </c>
      <c r="AJ36" s="471">
        <f t="shared" si="38"/>
        <v>0</v>
      </c>
      <c r="AK36" s="471">
        <f t="shared" si="38"/>
        <v>0</v>
      </c>
      <c r="AL36" s="471">
        <f t="shared" si="38"/>
        <v>0</v>
      </c>
      <c r="AM36" s="471">
        <f t="shared" si="38"/>
        <v>0</v>
      </c>
      <c r="AN36" s="471">
        <f t="shared" ref="AN36:BS36" si="39">AN15</f>
        <v>0</v>
      </c>
      <c r="AO36" s="471">
        <f t="shared" si="39"/>
        <v>0</v>
      </c>
      <c r="AP36" s="471">
        <f t="shared" si="39"/>
        <v>0</v>
      </c>
      <c r="AQ36" s="471">
        <f t="shared" si="39"/>
        <v>0</v>
      </c>
      <c r="AR36" s="471">
        <f t="shared" si="39"/>
        <v>0</v>
      </c>
      <c r="AS36" s="471">
        <f t="shared" si="39"/>
        <v>0</v>
      </c>
      <c r="AT36" s="471">
        <f t="shared" si="39"/>
        <v>0</v>
      </c>
      <c r="AU36" s="471">
        <f t="shared" si="39"/>
        <v>0</v>
      </c>
      <c r="AV36" s="471">
        <f t="shared" si="39"/>
        <v>0</v>
      </c>
      <c r="AW36" s="471">
        <f t="shared" si="39"/>
        <v>0</v>
      </c>
      <c r="AX36" s="471">
        <f t="shared" si="39"/>
        <v>0</v>
      </c>
      <c r="AY36" s="471">
        <f t="shared" si="39"/>
        <v>0</v>
      </c>
      <c r="AZ36" s="471">
        <f t="shared" si="39"/>
        <v>0</v>
      </c>
      <c r="BA36" s="471">
        <f t="shared" si="39"/>
        <v>0</v>
      </c>
      <c r="BB36" s="471">
        <f t="shared" si="39"/>
        <v>0</v>
      </c>
      <c r="BC36" s="471">
        <f t="shared" si="39"/>
        <v>0</v>
      </c>
      <c r="BD36" s="471">
        <f t="shared" si="39"/>
        <v>0</v>
      </c>
      <c r="BE36" s="471">
        <f t="shared" si="39"/>
        <v>0</v>
      </c>
      <c r="BF36" s="471">
        <f t="shared" si="39"/>
        <v>0</v>
      </c>
      <c r="BG36" s="471">
        <f t="shared" si="39"/>
        <v>0</v>
      </c>
      <c r="BH36" s="471">
        <f t="shared" si="39"/>
        <v>0</v>
      </c>
      <c r="BI36" s="471">
        <f t="shared" si="39"/>
        <v>0</v>
      </c>
      <c r="BJ36" s="471">
        <f t="shared" si="39"/>
        <v>0</v>
      </c>
      <c r="BK36" s="471">
        <f t="shared" si="39"/>
        <v>0</v>
      </c>
      <c r="BL36" s="471">
        <f t="shared" si="39"/>
        <v>0</v>
      </c>
      <c r="BM36" s="471">
        <f t="shared" si="39"/>
        <v>0</v>
      </c>
      <c r="BN36" s="471">
        <f t="shared" si="39"/>
        <v>0</v>
      </c>
      <c r="BO36" s="471">
        <f t="shared" si="39"/>
        <v>0</v>
      </c>
      <c r="BP36" s="471">
        <f t="shared" si="39"/>
        <v>0</v>
      </c>
      <c r="BQ36" s="471">
        <f t="shared" si="39"/>
        <v>0</v>
      </c>
      <c r="BR36" s="471">
        <f t="shared" si="39"/>
        <v>0</v>
      </c>
      <c r="BS36" s="471">
        <f t="shared" si="39"/>
        <v>0</v>
      </c>
      <c r="BT36" s="471">
        <f t="shared" ref="BT36:DC36" si="40">BT15</f>
        <v>0</v>
      </c>
      <c r="BU36" s="471">
        <f t="shared" si="40"/>
        <v>0</v>
      </c>
      <c r="BV36" s="471">
        <f t="shared" si="40"/>
        <v>0</v>
      </c>
      <c r="BW36" s="471">
        <f t="shared" si="40"/>
        <v>0</v>
      </c>
      <c r="BX36" s="471">
        <f t="shared" si="40"/>
        <v>0</v>
      </c>
      <c r="BY36" s="471">
        <f t="shared" si="40"/>
        <v>0</v>
      </c>
      <c r="BZ36" s="471">
        <f t="shared" si="40"/>
        <v>0</v>
      </c>
      <c r="CA36" s="471">
        <f t="shared" si="40"/>
        <v>0</v>
      </c>
      <c r="CB36" s="471">
        <f t="shared" si="40"/>
        <v>0</v>
      </c>
      <c r="CC36" s="471">
        <f t="shared" si="40"/>
        <v>0</v>
      </c>
      <c r="CD36" s="471">
        <f t="shared" si="40"/>
        <v>0</v>
      </c>
      <c r="CE36" s="471">
        <f t="shared" si="40"/>
        <v>0</v>
      </c>
      <c r="CF36" s="471">
        <f t="shared" si="40"/>
        <v>0</v>
      </c>
      <c r="CG36" s="471">
        <f t="shared" si="40"/>
        <v>0</v>
      </c>
      <c r="CH36" s="471">
        <f t="shared" si="40"/>
        <v>0</v>
      </c>
      <c r="CI36" s="471">
        <f t="shared" si="40"/>
        <v>0</v>
      </c>
      <c r="CJ36" s="471">
        <f t="shared" si="40"/>
        <v>0</v>
      </c>
      <c r="CK36" s="471">
        <f t="shared" si="40"/>
        <v>0</v>
      </c>
      <c r="CL36" s="471">
        <f t="shared" si="40"/>
        <v>0</v>
      </c>
      <c r="CM36" s="471">
        <f t="shared" si="40"/>
        <v>0</v>
      </c>
      <c r="CN36" s="471">
        <f t="shared" si="40"/>
        <v>0</v>
      </c>
      <c r="CO36" s="471">
        <f t="shared" si="40"/>
        <v>0</v>
      </c>
      <c r="CP36" s="471">
        <f t="shared" si="40"/>
        <v>0</v>
      </c>
      <c r="CQ36" s="471">
        <f t="shared" si="40"/>
        <v>0</v>
      </c>
      <c r="CR36" s="471">
        <f t="shared" si="40"/>
        <v>0</v>
      </c>
      <c r="CS36" s="471">
        <f t="shared" si="40"/>
        <v>0</v>
      </c>
      <c r="CT36" s="471">
        <f t="shared" si="40"/>
        <v>0</v>
      </c>
      <c r="CU36" s="471">
        <f t="shared" si="40"/>
        <v>0</v>
      </c>
      <c r="CV36" s="471">
        <f t="shared" si="40"/>
        <v>0</v>
      </c>
      <c r="CW36" s="471">
        <f t="shared" si="40"/>
        <v>0</v>
      </c>
      <c r="CX36" s="471">
        <f t="shared" si="40"/>
        <v>0</v>
      </c>
      <c r="CY36" s="471">
        <f t="shared" si="40"/>
        <v>0</v>
      </c>
      <c r="CZ36" s="471">
        <f t="shared" si="40"/>
        <v>0</v>
      </c>
      <c r="DA36" s="471">
        <f t="shared" si="40"/>
        <v>0</v>
      </c>
      <c r="DB36" s="471">
        <f t="shared" si="40"/>
        <v>0</v>
      </c>
      <c r="DC36" s="471">
        <f t="shared" si="40"/>
        <v>0</v>
      </c>
    </row>
    <row r="37" spans="2:107" ht="15" customHeight="1" x14ac:dyDescent="0.25">
      <c r="B37" s="900"/>
      <c r="C37" s="225" t="s">
        <v>4216</v>
      </c>
      <c r="D37" s="225"/>
      <c r="E37" s="226" t="s">
        <v>4217</v>
      </c>
      <c r="F37" s="232" t="s">
        <v>4236</v>
      </c>
      <c r="G37" s="555" t="str">
        <f>IF(COUNTA(H37:DC37)=0,"",IF(OR(LARGE(H37:DC37,1)&gt;22,SMALL(H37:DC37,1)&lt;0),"ERRO",""))</f>
        <v/>
      </c>
      <c r="H37" s="471">
        <f t="shared" ref="H37:AM37" si="41">H16</f>
        <v>0</v>
      </c>
      <c r="I37" s="471">
        <f t="shared" si="41"/>
        <v>0</v>
      </c>
      <c r="J37" s="471">
        <f t="shared" si="41"/>
        <v>0</v>
      </c>
      <c r="K37" s="471">
        <f t="shared" si="41"/>
        <v>0</v>
      </c>
      <c r="L37" s="471">
        <f t="shared" si="41"/>
        <v>0</v>
      </c>
      <c r="M37" s="471">
        <f t="shared" si="41"/>
        <v>0</v>
      </c>
      <c r="N37" s="471">
        <f t="shared" si="41"/>
        <v>0</v>
      </c>
      <c r="O37" s="471">
        <f t="shared" si="41"/>
        <v>0</v>
      </c>
      <c r="P37" s="471">
        <f t="shared" si="41"/>
        <v>0</v>
      </c>
      <c r="Q37" s="471">
        <f t="shared" si="41"/>
        <v>0</v>
      </c>
      <c r="R37" s="471">
        <f t="shared" si="41"/>
        <v>0</v>
      </c>
      <c r="S37" s="471">
        <f t="shared" si="41"/>
        <v>0</v>
      </c>
      <c r="T37" s="471">
        <f t="shared" si="41"/>
        <v>0</v>
      </c>
      <c r="U37" s="471">
        <f t="shared" si="41"/>
        <v>0</v>
      </c>
      <c r="V37" s="471">
        <f t="shared" si="41"/>
        <v>0</v>
      </c>
      <c r="W37" s="471">
        <f t="shared" si="41"/>
        <v>0</v>
      </c>
      <c r="X37" s="471">
        <f t="shared" si="41"/>
        <v>0</v>
      </c>
      <c r="Y37" s="471">
        <f t="shared" si="41"/>
        <v>0</v>
      </c>
      <c r="Z37" s="471">
        <f t="shared" si="41"/>
        <v>0</v>
      </c>
      <c r="AA37" s="471">
        <f t="shared" si="41"/>
        <v>0</v>
      </c>
      <c r="AB37" s="471">
        <f t="shared" si="41"/>
        <v>0</v>
      </c>
      <c r="AC37" s="471">
        <f t="shared" si="41"/>
        <v>0</v>
      </c>
      <c r="AD37" s="471">
        <f t="shared" si="41"/>
        <v>0</v>
      </c>
      <c r="AE37" s="471">
        <f t="shared" si="41"/>
        <v>0</v>
      </c>
      <c r="AF37" s="471">
        <f t="shared" si="41"/>
        <v>0</v>
      </c>
      <c r="AG37" s="471">
        <f t="shared" si="41"/>
        <v>0</v>
      </c>
      <c r="AH37" s="471">
        <f t="shared" si="41"/>
        <v>0</v>
      </c>
      <c r="AI37" s="471">
        <f t="shared" si="41"/>
        <v>0</v>
      </c>
      <c r="AJ37" s="471">
        <f t="shared" si="41"/>
        <v>0</v>
      </c>
      <c r="AK37" s="471">
        <f t="shared" si="41"/>
        <v>0</v>
      </c>
      <c r="AL37" s="471">
        <f t="shared" si="41"/>
        <v>0</v>
      </c>
      <c r="AM37" s="471">
        <f t="shared" si="41"/>
        <v>0</v>
      </c>
      <c r="AN37" s="471">
        <f t="shared" ref="AN37:BS37" si="42">AN16</f>
        <v>0</v>
      </c>
      <c r="AO37" s="471">
        <f t="shared" si="42"/>
        <v>0</v>
      </c>
      <c r="AP37" s="471">
        <f t="shared" si="42"/>
        <v>0</v>
      </c>
      <c r="AQ37" s="471">
        <f t="shared" si="42"/>
        <v>0</v>
      </c>
      <c r="AR37" s="471">
        <f t="shared" si="42"/>
        <v>0</v>
      </c>
      <c r="AS37" s="471">
        <f t="shared" si="42"/>
        <v>0</v>
      </c>
      <c r="AT37" s="471">
        <f t="shared" si="42"/>
        <v>0</v>
      </c>
      <c r="AU37" s="471">
        <f t="shared" si="42"/>
        <v>0</v>
      </c>
      <c r="AV37" s="471">
        <f t="shared" si="42"/>
        <v>0</v>
      </c>
      <c r="AW37" s="471">
        <f t="shared" si="42"/>
        <v>0</v>
      </c>
      <c r="AX37" s="471">
        <f t="shared" si="42"/>
        <v>0</v>
      </c>
      <c r="AY37" s="471">
        <f t="shared" si="42"/>
        <v>0</v>
      </c>
      <c r="AZ37" s="471">
        <f t="shared" si="42"/>
        <v>0</v>
      </c>
      <c r="BA37" s="471">
        <f t="shared" si="42"/>
        <v>0</v>
      </c>
      <c r="BB37" s="471">
        <f t="shared" si="42"/>
        <v>0</v>
      </c>
      <c r="BC37" s="471">
        <f t="shared" si="42"/>
        <v>0</v>
      </c>
      <c r="BD37" s="471">
        <f t="shared" si="42"/>
        <v>0</v>
      </c>
      <c r="BE37" s="471">
        <f t="shared" si="42"/>
        <v>0</v>
      </c>
      <c r="BF37" s="471">
        <f t="shared" si="42"/>
        <v>0</v>
      </c>
      <c r="BG37" s="471">
        <f t="shared" si="42"/>
        <v>0</v>
      </c>
      <c r="BH37" s="471">
        <f t="shared" si="42"/>
        <v>0</v>
      </c>
      <c r="BI37" s="471">
        <f t="shared" si="42"/>
        <v>0</v>
      </c>
      <c r="BJ37" s="471">
        <f t="shared" si="42"/>
        <v>0</v>
      </c>
      <c r="BK37" s="471">
        <f t="shared" si="42"/>
        <v>0</v>
      </c>
      <c r="BL37" s="471">
        <f t="shared" si="42"/>
        <v>0</v>
      </c>
      <c r="BM37" s="471">
        <f t="shared" si="42"/>
        <v>0</v>
      </c>
      <c r="BN37" s="471">
        <f t="shared" si="42"/>
        <v>0</v>
      </c>
      <c r="BO37" s="471">
        <f t="shared" si="42"/>
        <v>0</v>
      </c>
      <c r="BP37" s="471">
        <f t="shared" si="42"/>
        <v>0</v>
      </c>
      <c r="BQ37" s="471">
        <f t="shared" si="42"/>
        <v>0</v>
      </c>
      <c r="BR37" s="471">
        <f t="shared" si="42"/>
        <v>0</v>
      </c>
      <c r="BS37" s="471">
        <f t="shared" si="42"/>
        <v>0</v>
      </c>
      <c r="BT37" s="471">
        <f t="shared" ref="BT37:DC37" si="43">BT16</f>
        <v>0</v>
      </c>
      <c r="BU37" s="471">
        <f t="shared" si="43"/>
        <v>0</v>
      </c>
      <c r="BV37" s="471">
        <f t="shared" si="43"/>
        <v>0</v>
      </c>
      <c r="BW37" s="471">
        <f t="shared" si="43"/>
        <v>0</v>
      </c>
      <c r="BX37" s="471">
        <f t="shared" si="43"/>
        <v>0</v>
      </c>
      <c r="BY37" s="471">
        <f t="shared" si="43"/>
        <v>0</v>
      </c>
      <c r="BZ37" s="471">
        <f t="shared" si="43"/>
        <v>0</v>
      </c>
      <c r="CA37" s="471">
        <f t="shared" si="43"/>
        <v>0</v>
      </c>
      <c r="CB37" s="471">
        <f t="shared" si="43"/>
        <v>0</v>
      </c>
      <c r="CC37" s="471">
        <f t="shared" si="43"/>
        <v>0</v>
      </c>
      <c r="CD37" s="471">
        <f t="shared" si="43"/>
        <v>0</v>
      </c>
      <c r="CE37" s="471">
        <f t="shared" si="43"/>
        <v>0</v>
      </c>
      <c r="CF37" s="471">
        <f t="shared" si="43"/>
        <v>0</v>
      </c>
      <c r="CG37" s="471">
        <f t="shared" si="43"/>
        <v>0</v>
      </c>
      <c r="CH37" s="471">
        <f t="shared" si="43"/>
        <v>0</v>
      </c>
      <c r="CI37" s="471">
        <f t="shared" si="43"/>
        <v>0</v>
      </c>
      <c r="CJ37" s="471">
        <f t="shared" si="43"/>
        <v>0</v>
      </c>
      <c r="CK37" s="471">
        <f t="shared" si="43"/>
        <v>0</v>
      </c>
      <c r="CL37" s="471">
        <f t="shared" si="43"/>
        <v>0</v>
      </c>
      <c r="CM37" s="471">
        <f t="shared" si="43"/>
        <v>0</v>
      </c>
      <c r="CN37" s="471">
        <f t="shared" si="43"/>
        <v>0</v>
      </c>
      <c r="CO37" s="471">
        <f t="shared" si="43"/>
        <v>0</v>
      </c>
      <c r="CP37" s="471">
        <f t="shared" si="43"/>
        <v>0</v>
      </c>
      <c r="CQ37" s="471">
        <f t="shared" si="43"/>
        <v>0</v>
      </c>
      <c r="CR37" s="471">
        <f t="shared" si="43"/>
        <v>0</v>
      </c>
      <c r="CS37" s="471">
        <f t="shared" si="43"/>
        <v>0</v>
      </c>
      <c r="CT37" s="471">
        <f t="shared" si="43"/>
        <v>0</v>
      </c>
      <c r="CU37" s="471">
        <f t="shared" si="43"/>
        <v>0</v>
      </c>
      <c r="CV37" s="471">
        <f t="shared" si="43"/>
        <v>0</v>
      </c>
      <c r="CW37" s="471">
        <f t="shared" si="43"/>
        <v>0</v>
      </c>
      <c r="CX37" s="471">
        <f t="shared" si="43"/>
        <v>0</v>
      </c>
      <c r="CY37" s="471">
        <f t="shared" si="43"/>
        <v>0</v>
      </c>
      <c r="CZ37" s="471">
        <f t="shared" si="43"/>
        <v>0</v>
      </c>
      <c r="DA37" s="471">
        <f t="shared" si="43"/>
        <v>0</v>
      </c>
      <c r="DB37" s="471">
        <f t="shared" si="43"/>
        <v>0</v>
      </c>
      <c r="DC37" s="471">
        <f t="shared" si="43"/>
        <v>0</v>
      </c>
    </row>
    <row r="38" spans="2:107" ht="15" customHeight="1" x14ac:dyDescent="0.25">
      <c r="B38" s="900"/>
      <c r="C38" s="225" t="s">
        <v>4219</v>
      </c>
      <c r="D38" s="225"/>
      <c r="E38" s="226" t="s">
        <v>4220</v>
      </c>
      <c r="F38" s="232" t="s">
        <v>4237</v>
      </c>
      <c r="G38" s="555" t="str">
        <f>IF(COUNTA(H38:DC38)=0,"",IF(OR(LARGE(H38:DC38,1)&gt;12,SMALL(H38:DC38,1)&lt;0),"ERRO",""))</f>
        <v/>
      </c>
      <c r="H38" s="471">
        <f t="shared" ref="H38:AM38" si="44">H17</f>
        <v>0</v>
      </c>
      <c r="I38" s="471">
        <f t="shared" si="44"/>
        <v>0</v>
      </c>
      <c r="J38" s="471">
        <f t="shared" si="44"/>
        <v>0</v>
      </c>
      <c r="K38" s="471">
        <f t="shared" si="44"/>
        <v>0</v>
      </c>
      <c r="L38" s="471">
        <f t="shared" si="44"/>
        <v>0</v>
      </c>
      <c r="M38" s="471">
        <f t="shared" si="44"/>
        <v>0</v>
      </c>
      <c r="N38" s="471">
        <f t="shared" si="44"/>
        <v>0</v>
      </c>
      <c r="O38" s="471">
        <f t="shared" si="44"/>
        <v>0</v>
      </c>
      <c r="P38" s="471">
        <f t="shared" si="44"/>
        <v>0</v>
      </c>
      <c r="Q38" s="471">
        <f t="shared" si="44"/>
        <v>0</v>
      </c>
      <c r="R38" s="471">
        <f t="shared" si="44"/>
        <v>0</v>
      </c>
      <c r="S38" s="471">
        <f t="shared" si="44"/>
        <v>0</v>
      </c>
      <c r="T38" s="471">
        <f t="shared" si="44"/>
        <v>0</v>
      </c>
      <c r="U38" s="471">
        <f t="shared" si="44"/>
        <v>0</v>
      </c>
      <c r="V38" s="471">
        <f t="shared" si="44"/>
        <v>0</v>
      </c>
      <c r="W38" s="471">
        <f t="shared" si="44"/>
        <v>0</v>
      </c>
      <c r="X38" s="471">
        <f t="shared" si="44"/>
        <v>0</v>
      </c>
      <c r="Y38" s="471">
        <f t="shared" si="44"/>
        <v>0</v>
      </c>
      <c r="Z38" s="471">
        <f t="shared" si="44"/>
        <v>0</v>
      </c>
      <c r="AA38" s="471">
        <f t="shared" si="44"/>
        <v>0</v>
      </c>
      <c r="AB38" s="471">
        <f t="shared" si="44"/>
        <v>0</v>
      </c>
      <c r="AC38" s="471">
        <f t="shared" si="44"/>
        <v>0</v>
      </c>
      <c r="AD38" s="471">
        <f t="shared" si="44"/>
        <v>0</v>
      </c>
      <c r="AE38" s="471">
        <f t="shared" si="44"/>
        <v>0</v>
      </c>
      <c r="AF38" s="471">
        <f t="shared" si="44"/>
        <v>0</v>
      </c>
      <c r="AG38" s="471">
        <f t="shared" si="44"/>
        <v>0</v>
      </c>
      <c r="AH38" s="471">
        <f t="shared" si="44"/>
        <v>0</v>
      </c>
      <c r="AI38" s="471">
        <f t="shared" si="44"/>
        <v>0</v>
      </c>
      <c r="AJ38" s="471">
        <f t="shared" si="44"/>
        <v>0</v>
      </c>
      <c r="AK38" s="471">
        <f t="shared" si="44"/>
        <v>0</v>
      </c>
      <c r="AL38" s="471">
        <f t="shared" si="44"/>
        <v>0</v>
      </c>
      <c r="AM38" s="471">
        <f t="shared" si="44"/>
        <v>0</v>
      </c>
      <c r="AN38" s="471">
        <f t="shared" ref="AN38:BS38" si="45">AN17</f>
        <v>0</v>
      </c>
      <c r="AO38" s="471">
        <f t="shared" si="45"/>
        <v>0</v>
      </c>
      <c r="AP38" s="471">
        <f t="shared" si="45"/>
        <v>0</v>
      </c>
      <c r="AQ38" s="471">
        <f t="shared" si="45"/>
        <v>0</v>
      </c>
      <c r="AR38" s="471">
        <f t="shared" si="45"/>
        <v>0</v>
      </c>
      <c r="AS38" s="471">
        <f t="shared" si="45"/>
        <v>0</v>
      </c>
      <c r="AT38" s="471">
        <f t="shared" si="45"/>
        <v>0</v>
      </c>
      <c r="AU38" s="471">
        <f t="shared" si="45"/>
        <v>0</v>
      </c>
      <c r="AV38" s="471">
        <f t="shared" si="45"/>
        <v>0</v>
      </c>
      <c r="AW38" s="471">
        <f t="shared" si="45"/>
        <v>0</v>
      </c>
      <c r="AX38" s="471">
        <f t="shared" si="45"/>
        <v>0</v>
      </c>
      <c r="AY38" s="471">
        <f t="shared" si="45"/>
        <v>0</v>
      </c>
      <c r="AZ38" s="471">
        <f t="shared" si="45"/>
        <v>0</v>
      </c>
      <c r="BA38" s="471">
        <f t="shared" si="45"/>
        <v>0</v>
      </c>
      <c r="BB38" s="471">
        <f t="shared" si="45"/>
        <v>0</v>
      </c>
      <c r="BC38" s="471">
        <f t="shared" si="45"/>
        <v>0</v>
      </c>
      <c r="BD38" s="471">
        <f t="shared" si="45"/>
        <v>0</v>
      </c>
      <c r="BE38" s="471">
        <f t="shared" si="45"/>
        <v>0</v>
      </c>
      <c r="BF38" s="471">
        <f t="shared" si="45"/>
        <v>0</v>
      </c>
      <c r="BG38" s="471">
        <f t="shared" si="45"/>
        <v>0</v>
      </c>
      <c r="BH38" s="471">
        <f t="shared" si="45"/>
        <v>0</v>
      </c>
      <c r="BI38" s="471">
        <f t="shared" si="45"/>
        <v>0</v>
      </c>
      <c r="BJ38" s="471">
        <f t="shared" si="45"/>
        <v>0</v>
      </c>
      <c r="BK38" s="471">
        <f t="shared" si="45"/>
        <v>0</v>
      </c>
      <c r="BL38" s="471">
        <f t="shared" si="45"/>
        <v>0</v>
      </c>
      <c r="BM38" s="471">
        <f t="shared" si="45"/>
        <v>0</v>
      </c>
      <c r="BN38" s="471">
        <f t="shared" si="45"/>
        <v>0</v>
      </c>
      <c r="BO38" s="471">
        <f t="shared" si="45"/>
        <v>0</v>
      </c>
      <c r="BP38" s="471">
        <f t="shared" si="45"/>
        <v>0</v>
      </c>
      <c r="BQ38" s="471">
        <f t="shared" si="45"/>
        <v>0</v>
      </c>
      <c r="BR38" s="471">
        <f t="shared" si="45"/>
        <v>0</v>
      </c>
      <c r="BS38" s="471">
        <f t="shared" si="45"/>
        <v>0</v>
      </c>
      <c r="BT38" s="471">
        <f t="shared" ref="BT38:DC38" si="46">BT17</f>
        <v>0</v>
      </c>
      <c r="BU38" s="471">
        <f t="shared" si="46"/>
        <v>0</v>
      </c>
      <c r="BV38" s="471">
        <f t="shared" si="46"/>
        <v>0</v>
      </c>
      <c r="BW38" s="471">
        <f t="shared" si="46"/>
        <v>0</v>
      </c>
      <c r="BX38" s="471">
        <f t="shared" si="46"/>
        <v>0</v>
      </c>
      <c r="BY38" s="471">
        <f t="shared" si="46"/>
        <v>0</v>
      </c>
      <c r="BZ38" s="471">
        <f t="shared" si="46"/>
        <v>0</v>
      </c>
      <c r="CA38" s="471">
        <f t="shared" si="46"/>
        <v>0</v>
      </c>
      <c r="CB38" s="471">
        <f t="shared" si="46"/>
        <v>0</v>
      </c>
      <c r="CC38" s="471">
        <f t="shared" si="46"/>
        <v>0</v>
      </c>
      <c r="CD38" s="471">
        <f t="shared" si="46"/>
        <v>0</v>
      </c>
      <c r="CE38" s="471">
        <f t="shared" si="46"/>
        <v>0</v>
      </c>
      <c r="CF38" s="471">
        <f t="shared" si="46"/>
        <v>0</v>
      </c>
      <c r="CG38" s="471">
        <f t="shared" si="46"/>
        <v>0</v>
      </c>
      <c r="CH38" s="471">
        <f t="shared" si="46"/>
        <v>0</v>
      </c>
      <c r="CI38" s="471">
        <f t="shared" si="46"/>
        <v>0</v>
      </c>
      <c r="CJ38" s="471">
        <f t="shared" si="46"/>
        <v>0</v>
      </c>
      <c r="CK38" s="471">
        <f t="shared" si="46"/>
        <v>0</v>
      </c>
      <c r="CL38" s="471">
        <f t="shared" si="46"/>
        <v>0</v>
      </c>
      <c r="CM38" s="471">
        <f t="shared" si="46"/>
        <v>0</v>
      </c>
      <c r="CN38" s="471">
        <f t="shared" si="46"/>
        <v>0</v>
      </c>
      <c r="CO38" s="471">
        <f t="shared" si="46"/>
        <v>0</v>
      </c>
      <c r="CP38" s="471">
        <f t="shared" si="46"/>
        <v>0</v>
      </c>
      <c r="CQ38" s="471">
        <f t="shared" si="46"/>
        <v>0</v>
      </c>
      <c r="CR38" s="471">
        <f t="shared" si="46"/>
        <v>0</v>
      </c>
      <c r="CS38" s="471">
        <f t="shared" si="46"/>
        <v>0</v>
      </c>
      <c r="CT38" s="471">
        <f t="shared" si="46"/>
        <v>0</v>
      </c>
      <c r="CU38" s="471">
        <f t="shared" si="46"/>
        <v>0</v>
      </c>
      <c r="CV38" s="471">
        <f t="shared" si="46"/>
        <v>0</v>
      </c>
      <c r="CW38" s="471">
        <f t="shared" si="46"/>
        <v>0</v>
      </c>
      <c r="CX38" s="471">
        <f t="shared" si="46"/>
        <v>0</v>
      </c>
      <c r="CY38" s="471">
        <f t="shared" si="46"/>
        <v>0</v>
      </c>
      <c r="CZ38" s="471">
        <f t="shared" si="46"/>
        <v>0</v>
      </c>
      <c r="DA38" s="471">
        <f t="shared" si="46"/>
        <v>0</v>
      </c>
      <c r="DB38" s="471">
        <f t="shared" si="46"/>
        <v>0</v>
      </c>
      <c r="DC38" s="471">
        <f t="shared" si="46"/>
        <v>0</v>
      </c>
    </row>
    <row r="39" spans="2:107" ht="15" customHeight="1" x14ac:dyDescent="0.25">
      <c r="B39" s="900"/>
      <c r="C39" s="225" t="s">
        <v>4222</v>
      </c>
      <c r="D39" s="225"/>
      <c r="E39" s="231" t="s">
        <v>3857</v>
      </c>
      <c r="F39" s="232" t="s">
        <v>4238</v>
      </c>
      <c r="G39" s="554">
        <f>SUM(H39:DC39)</f>
        <v>0</v>
      </c>
      <c r="H39" s="236">
        <f>H32*((H36*H37*H38)/792)</f>
        <v>0</v>
      </c>
      <c r="I39" s="236">
        <f t="shared" ref="I39:Z39" si="47">I32*((I36*I37*I38)/792)</f>
        <v>0</v>
      </c>
      <c r="J39" s="236">
        <f t="shared" si="47"/>
        <v>0</v>
      </c>
      <c r="K39" s="236">
        <f t="shared" si="47"/>
        <v>0</v>
      </c>
      <c r="L39" s="236">
        <f t="shared" si="47"/>
        <v>0</v>
      </c>
      <c r="M39" s="236">
        <f t="shared" si="47"/>
        <v>0</v>
      </c>
      <c r="N39" s="236">
        <f t="shared" si="47"/>
        <v>0</v>
      </c>
      <c r="O39" s="236">
        <f t="shared" si="47"/>
        <v>0</v>
      </c>
      <c r="P39" s="236">
        <f t="shared" si="47"/>
        <v>0</v>
      </c>
      <c r="Q39" s="236">
        <f t="shared" si="47"/>
        <v>0</v>
      </c>
      <c r="R39" s="236">
        <f t="shared" si="47"/>
        <v>0</v>
      </c>
      <c r="S39" s="236">
        <f t="shared" si="47"/>
        <v>0</v>
      </c>
      <c r="T39" s="236">
        <f t="shared" si="47"/>
        <v>0</v>
      </c>
      <c r="U39" s="236">
        <f t="shared" si="47"/>
        <v>0</v>
      </c>
      <c r="V39" s="236">
        <f t="shared" si="47"/>
        <v>0</v>
      </c>
      <c r="W39" s="236">
        <f t="shared" si="47"/>
        <v>0</v>
      </c>
      <c r="X39" s="236">
        <f t="shared" si="47"/>
        <v>0</v>
      </c>
      <c r="Y39" s="236">
        <f t="shared" si="47"/>
        <v>0</v>
      </c>
      <c r="Z39" s="236">
        <f t="shared" si="47"/>
        <v>0</v>
      </c>
      <c r="AA39" s="236">
        <f t="shared" ref="AA39:CL39" si="48">AA32*((AA36*AA37*AA38)/792)</f>
        <v>0</v>
      </c>
      <c r="AB39" s="236">
        <f t="shared" si="48"/>
        <v>0</v>
      </c>
      <c r="AC39" s="236">
        <f t="shared" si="48"/>
        <v>0</v>
      </c>
      <c r="AD39" s="236">
        <f t="shared" si="48"/>
        <v>0</v>
      </c>
      <c r="AE39" s="236">
        <f t="shared" si="48"/>
        <v>0</v>
      </c>
      <c r="AF39" s="236">
        <f t="shared" si="48"/>
        <v>0</v>
      </c>
      <c r="AG39" s="236">
        <f t="shared" si="48"/>
        <v>0</v>
      </c>
      <c r="AH39" s="236">
        <f t="shared" si="48"/>
        <v>0</v>
      </c>
      <c r="AI39" s="236">
        <f t="shared" si="48"/>
        <v>0</v>
      </c>
      <c r="AJ39" s="236">
        <f t="shared" si="48"/>
        <v>0</v>
      </c>
      <c r="AK39" s="236">
        <f t="shared" si="48"/>
        <v>0</v>
      </c>
      <c r="AL39" s="236">
        <f t="shared" si="48"/>
        <v>0</v>
      </c>
      <c r="AM39" s="236">
        <f t="shared" si="48"/>
        <v>0</v>
      </c>
      <c r="AN39" s="236">
        <f t="shared" si="48"/>
        <v>0</v>
      </c>
      <c r="AO39" s="236">
        <f t="shared" si="48"/>
        <v>0</v>
      </c>
      <c r="AP39" s="236">
        <f t="shared" si="48"/>
        <v>0</v>
      </c>
      <c r="AQ39" s="236">
        <f t="shared" si="48"/>
        <v>0</v>
      </c>
      <c r="AR39" s="236">
        <f t="shared" si="48"/>
        <v>0</v>
      </c>
      <c r="AS39" s="236">
        <f t="shared" si="48"/>
        <v>0</v>
      </c>
      <c r="AT39" s="236">
        <f t="shared" si="48"/>
        <v>0</v>
      </c>
      <c r="AU39" s="236">
        <f t="shared" si="48"/>
        <v>0</v>
      </c>
      <c r="AV39" s="236">
        <f t="shared" si="48"/>
        <v>0</v>
      </c>
      <c r="AW39" s="236">
        <f t="shared" si="48"/>
        <v>0</v>
      </c>
      <c r="AX39" s="236">
        <f t="shared" si="48"/>
        <v>0</v>
      </c>
      <c r="AY39" s="236">
        <f t="shared" si="48"/>
        <v>0</v>
      </c>
      <c r="AZ39" s="236">
        <f t="shared" si="48"/>
        <v>0</v>
      </c>
      <c r="BA39" s="236">
        <f t="shared" si="48"/>
        <v>0</v>
      </c>
      <c r="BB39" s="236">
        <f t="shared" si="48"/>
        <v>0</v>
      </c>
      <c r="BC39" s="236">
        <f t="shared" si="48"/>
        <v>0</v>
      </c>
      <c r="BD39" s="236">
        <f t="shared" si="48"/>
        <v>0</v>
      </c>
      <c r="BE39" s="236">
        <f t="shared" si="48"/>
        <v>0</v>
      </c>
      <c r="BF39" s="236">
        <f t="shared" si="48"/>
        <v>0</v>
      </c>
      <c r="BG39" s="236">
        <f t="shared" si="48"/>
        <v>0</v>
      </c>
      <c r="BH39" s="236">
        <f t="shared" si="48"/>
        <v>0</v>
      </c>
      <c r="BI39" s="236">
        <f t="shared" si="48"/>
        <v>0</v>
      </c>
      <c r="BJ39" s="236">
        <f t="shared" si="48"/>
        <v>0</v>
      </c>
      <c r="BK39" s="236">
        <f t="shared" si="48"/>
        <v>0</v>
      </c>
      <c r="BL39" s="236">
        <f t="shared" si="48"/>
        <v>0</v>
      </c>
      <c r="BM39" s="236">
        <f t="shared" si="48"/>
        <v>0</v>
      </c>
      <c r="BN39" s="236">
        <f t="shared" si="48"/>
        <v>0</v>
      </c>
      <c r="BO39" s="236">
        <f t="shared" si="48"/>
        <v>0</v>
      </c>
      <c r="BP39" s="236">
        <f t="shared" si="48"/>
        <v>0</v>
      </c>
      <c r="BQ39" s="236">
        <f t="shared" si="48"/>
        <v>0</v>
      </c>
      <c r="BR39" s="236">
        <f t="shared" si="48"/>
        <v>0</v>
      </c>
      <c r="BS39" s="236">
        <f t="shared" si="48"/>
        <v>0</v>
      </c>
      <c r="BT39" s="236">
        <f t="shared" si="48"/>
        <v>0</v>
      </c>
      <c r="BU39" s="236">
        <f t="shared" si="48"/>
        <v>0</v>
      </c>
      <c r="BV39" s="236">
        <f t="shared" si="48"/>
        <v>0</v>
      </c>
      <c r="BW39" s="236">
        <f t="shared" si="48"/>
        <v>0</v>
      </c>
      <c r="BX39" s="236">
        <f t="shared" si="48"/>
        <v>0</v>
      </c>
      <c r="BY39" s="236">
        <f t="shared" si="48"/>
        <v>0</v>
      </c>
      <c r="BZ39" s="236">
        <f t="shared" si="48"/>
        <v>0</v>
      </c>
      <c r="CA39" s="236">
        <f t="shared" si="48"/>
        <v>0</v>
      </c>
      <c r="CB39" s="236">
        <f t="shared" si="48"/>
        <v>0</v>
      </c>
      <c r="CC39" s="236">
        <f t="shared" si="48"/>
        <v>0</v>
      </c>
      <c r="CD39" s="236">
        <f t="shared" si="48"/>
        <v>0</v>
      </c>
      <c r="CE39" s="236">
        <f t="shared" si="48"/>
        <v>0</v>
      </c>
      <c r="CF39" s="236">
        <f t="shared" si="48"/>
        <v>0</v>
      </c>
      <c r="CG39" s="236">
        <f t="shared" si="48"/>
        <v>0</v>
      </c>
      <c r="CH39" s="236">
        <f t="shared" si="48"/>
        <v>0</v>
      </c>
      <c r="CI39" s="236">
        <f t="shared" si="48"/>
        <v>0</v>
      </c>
      <c r="CJ39" s="236">
        <f t="shared" si="48"/>
        <v>0</v>
      </c>
      <c r="CK39" s="236">
        <f t="shared" si="48"/>
        <v>0</v>
      </c>
      <c r="CL39" s="236">
        <f t="shared" si="48"/>
        <v>0</v>
      </c>
      <c r="CM39" s="236">
        <f t="shared" ref="CM39:DC39" si="49">CM32*((CM36*CM37*CM38)/792)</f>
        <v>0</v>
      </c>
      <c r="CN39" s="236">
        <f t="shared" si="49"/>
        <v>0</v>
      </c>
      <c r="CO39" s="236">
        <f t="shared" si="49"/>
        <v>0</v>
      </c>
      <c r="CP39" s="236">
        <f t="shared" si="49"/>
        <v>0</v>
      </c>
      <c r="CQ39" s="236">
        <f t="shared" si="49"/>
        <v>0</v>
      </c>
      <c r="CR39" s="236">
        <f t="shared" si="49"/>
        <v>0</v>
      </c>
      <c r="CS39" s="236">
        <f t="shared" si="49"/>
        <v>0</v>
      </c>
      <c r="CT39" s="236">
        <f t="shared" si="49"/>
        <v>0</v>
      </c>
      <c r="CU39" s="236">
        <f t="shared" si="49"/>
        <v>0</v>
      </c>
      <c r="CV39" s="236">
        <f t="shared" si="49"/>
        <v>0</v>
      </c>
      <c r="CW39" s="236">
        <f t="shared" si="49"/>
        <v>0</v>
      </c>
      <c r="CX39" s="236">
        <f t="shared" si="49"/>
        <v>0</v>
      </c>
      <c r="CY39" s="236">
        <f t="shared" si="49"/>
        <v>0</v>
      </c>
      <c r="CZ39" s="236">
        <f t="shared" si="49"/>
        <v>0</v>
      </c>
      <c r="DA39" s="236">
        <f t="shared" si="49"/>
        <v>0</v>
      </c>
      <c r="DB39" s="236">
        <f t="shared" si="49"/>
        <v>0</v>
      </c>
      <c r="DC39" s="236">
        <f t="shared" si="49"/>
        <v>0</v>
      </c>
    </row>
    <row r="40" spans="2:107" ht="15" customHeight="1" x14ac:dyDescent="0.25">
      <c r="B40" s="901"/>
      <c r="C40" s="225" t="s">
        <v>4224</v>
      </c>
      <c r="D40" s="225"/>
      <c r="E40" s="225"/>
      <c r="F40" s="232" t="s">
        <v>4239</v>
      </c>
      <c r="G40" s="237" t="str">
        <f>IF(COUNTA(H40:DC40)=0,"",IF(OR(LARGE(H40:DC40,1)&gt;1,SMALL(H40:DC40,1)&lt;0),"ERRO",""))</f>
        <v/>
      </c>
      <c r="H40" s="242">
        <f>IF(H32=0,0,H39/H32)</f>
        <v>0</v>
      </c>
      <c r="I40" s="242">
        <f t="shared" ref="I40:Z40" si="50">IF(I32=0,0,I39/I32)</f>
        <v>0</v>
      </c>
      <c r="J40" s="242">
        <f t="shared" si="50"/>
        <v>0</v>
      </c>
      <c r="K40" s="242">
        <f t="shared" si="50"/>
        <v>0</v>
      </c>
      <c r="L40" s="242">
        <f t="shared" si="50"/>
        <v>0</v>
      </c>
      <c r="M40" s="242">
        <f t="shared" si="50"/>
        <v>0</v>
      </c>
      <c r="N40" s="242">
        <f t="shared" si="50"/>
        <v>0</v>
      </c>
      <c r="O40" s="242">
        <f t="shared" si="50"/>
        <v>0</v>
      </c>
      <c r="P40" s="242">
        <f t="shared" si="50"/>
        <v>0</v>
      </c>
      <c r="Q40" s="242">
        <f t="shared" si="50"/>
        <v>0</v>
      </c>
      <c r="R40" s="242">
        <f t="shared" si="50"/>
        <v>0</v>
      </c>
      <c r="S40" s="242">
        <f t="shared" si="50"/>
        <v>0</v>
      </c>
      <c r="T40" s="242">
        <f t="shared" si="50"/>
        <v>0</v>
      </c>
      <c r="U40" s="242">
        <f t="shared" si="50"/>
        <v>0</v>
      </c>
      <c r="V40" s="242">
        <f t="shared" si="50"/>
        <v>0</v>
      </c>
      <c r="W40" s="242">
        <f t="shared" si="50"/>
        <v>0</v>
      </c>
      <c r="X40" s="242">
        <f t="shared" si="50"/>
        <v>0</v>
      </c>
      <c r="Y40" s="242">
        <f t="shared" si="50"/>
        <v>0</v>
      </c>
      <c r="Z40" s="242">
        <f t="shared" si="50"/>
        <v>0</v>
      </c>
      <c r="AA40" s="242">
        <f t="shared" ref="AA40:CL40" si="51">IF(AA32=0,0,AA39/AA32)</f>
        <v>0</v>
      </c>
      <c r="AB40" s="242">
        <f t="shared" si="51"/>
        <v>0</v>
      </c>
      <c r="AC40" s="242">
        <f t="shared" si="51"/>
        <v>0</v>
      </c>
      <c r="AD40" s="242">
        <f t="shared" si="51"/>
        <v>0</v>
      </c>
      <c r="AE40" s="242">
        <f t="shared" si="51"/>
        <v>0</v>
      </c>
      <c r="AF40" s="242">
        <f t="shared" si="51"/>
        <v>0</v>
      </c>
      <c r="AG40" s="242">
        <f t="shared" si="51"/>
        <v>0</v>
      </c>
      <c r="AH40" s="242">
        <f t="shared" si="51"/>
        <v>0</v>
      </c>
      <c r="AI40" s="242">
        <f t="shared" si="51"/>
        <v>0</v>
      </c>
      <c r="AJ40" s="242">
        <f t="shared" si="51"/>
        <v>0</v>
      </c>
      <c r="AK40" s="242">
        <f t="shared" si="51"/>
        <v>0</v>
      </c>
      <c r="AL40" s="242">
        <f t="shared" si="51"/>
        <v>0</v>
      </c>
      <c r="AM40" s="242">
        <f t="shared" si="51"/>
        <v>0</v>
      </c>
      <c r="AN40" s="242">
        <f t="shared" si="51"/>
        <v>0</v>
      </c>
      <c r="AO40" s="242">
        <f t="shared" si="51"/>
        <v>0</v>
      </c>
      <c r="AP40" s="242">
        <f t="shared" si="51"/>
        <v>0</v>
      </c>
      <c r="AQ40" s="242">
        <f t="shared" si="51"/>
        <v>0</v>
      </c>
      <c r="AR40" s="242">
        <f t="shared" si="51"/>
        <v>0</v>
      </c>
      <c r="AS40" s="242">
        <f t="shared" si="51"/>
        <v>0</v>
      </c>
      <c r="AT40" s="242">
        <f t="shared" si="51"/>
        <v>0</v>
      </c>
      <c r="AU40" s="242">
        <f t="shared" si="51"/>
        <v>0</v>
      </c>
      <c r="AV40" s="242">
        <f t="shared" si="51"/>
        <v>0</v>
      </c>
      <c r="AW40" s="242">
        <f t="shared" si="51"/>
        <v>0</v>
      </c>
      <c r="AX40" s="242">
        <f t="shared" si="51"/>
        <v>0</v>
      </c>
      <c r="AY40" s="242">
        <f t="shared" si="51"/>
        <v>0</v>
      </c>
      <c r="AZ40" s="242">
        <f t="shared" si="51"/>
        <v>0</v>
      </c>
      <c r="BA40" s="242">
        <f t="shared" si="51"/>
        <v>0</v>
      </c>
      <c r="BB40" s="242">
        <f t="shared" si="51"/>
        <v>0</v>
      </c>
      <c r="BC40" s="242">
        <f t="shared" si="51"/>
        <v>0</v>
      </c>
      <c r="BD40" s="242">
        <f t="shared" si="51"/>
        <v>0</v>
      </c>
      <c r="BE40" s="242">
        <f t="shared" si="51"/>
        <v>0</v>
      </c>
      <c r="BF40" s="242">
        <f t="shared" si="51"/>
        <v>0</v>
      </c>
      <c r="BG40" s="242">
        <f t="shared" si="51"/>
        <v>0</v>
      </c>
      <c r="BH40" s="242">
        <f t="shared" si="51"/>
        <v>0</v>
      </c>
      <c r="BI40" s="242">
        <f t="shared" si="51"/>
        <v>0</v>
      </c>
      <c r="BJ40" s="242">
        <f t="shared" si="51"/>
        <v>0</v>
      </c>
      <c r="BK40" s="242">
        <f t="shared" si="51"/>
        <v>0</v>
      </c>
      <c r="BL40" s="242">
        <f t="shared" si="51"/>
        <v>0</v>
      </c>
      <c r="BM40" s="242">
        <f t="shared" si="51"/>
        <v>0</v>
      </c>
      <c r="BN40" s="242">
        <f t="shared" si="51"/>
        <v>0</v>
      </c>
      <c r="BO40" s="242">
        <f t="shared" si="51"/>
        <v>0</v>
      </c>
      <c r="BP40" s="242">
        <f t="shared" si="51"/>
        <v>0</v>
      </c>
      <c r="BQ40" s="242">
        <f t="shared" si="51"/>
        <v>0</v>
      </c>
      <c r="BR40" s="242">
        <f t="shared" si="51"/>
        <v>0</v>
      </c>
      <c r="BS40" s="242">
        <f t="shared" si="51"/>
        <v>0</v>
      </c>
      <c r="BT40" s="242">
        <f t="shared" si="51"/>
        <v>0</v>
      </c>
      <c r="BU40" s="242">
        <f t="shared" si="51"/>
        <v>0</v>
      </c>
      <c r="BV40" s="242">
        <f t="shared" si="51"/>
        <v>0</v>
      </c>
      <c r="BW40" s="242">
        <f t="shared" si="51"/>
        <v>0</v>
      </c>
      <c r="BX40" s="242">
        <f t="shared" si="51"/>
        <v>0</v>
      </c>
      <c r="BY40" s="242">
        <f t="shared" si="51"/>
        <v>0</v>
      </c>
      <c r="BZ40" s="242">
        <f t="shared" si="51"/>
        <v>0</v>
      </c>
      <c r="CA40" s="242">
        <f t="shared" si="51"/>
        <v>0</v>
      </c>
      <c r="CB40" s="242">
        <f t="shared" si="51"/>
        <v>0</v>
      </c>
      <c r="CC40" s="242">
        <f t="shared" si="51"/>
        <v>0</v>
      </c>
      <c r="CD40" s="242">
        <f t="shared" si="51"/>
        <v>0</v>
      </c>
      <c r="CE40" s="242">
        <f t="shared" si="51"/>
        <v>0</v>
      </c>
      <c r="CF40" s="242">
        <f t="shared" si="51"/>
        <v>0</v>
      </c>
      <c r="CG40" s="242">
        <f t="shared" si="51"/>
        <v>0</v>
      </c>
      <c r="CH40" s="242">
        <f t="shared" si="51"/>
        <v>0</v>
      </c>
      <c r="CI40" s="242">
        <f t="shared" si="51"/>
        <v>0</v>
      </c>
      <c r="CJ40" s="242">
        <f t="shared" si="51"/>
        <v>0</v>
      </c>
      <c r="CK40" s="242">
        <f t="shared" si="51"/>
        <v>0</v>
      </c>
      <c r="CL40" s="242">
        <f t="shared" si="51"/>
        <v>0</v>
      </c>
      <c r="CM40" s="242">
        <f t="shared" ref="CM40:DC40" si="52">IF(CM32=0,0,CM39/CM32)</f>
        <v>0</v>
      </c>
      <c r="CN40" s="242">
        <f t="shared" si="52"/>
        <v>0</v>
      </c>
      <c r="CO40" s="242">
        <f t="shared" si="52"/>
        <v>0</v>
      </c>
      <c r="CP40" s="242">
        <f t="shared" si="52"/>
        <v>0</v>
      </c>
      <c r="CQ40" s="242">
        <f t="shared" si="52"/>
        <v>0</v>
      </c>
      <c r="CR40" s="242">
        <f t="shared" si="52"/>
        <v>0</v>
      </c>
      <c r="CS40" s="242">
        <f t="shared" si="52"/>
        <v>0</v>
      </c>
      <c r="CT40" s="242">
        <f t="shared" si="52"/>
        <v>0</v>
      </c>
      <c r="CU40" s="242">
        <f t="shared" si="52"/>
        <v>0</v>
      </c>
      <c r="CV40" s="242">
        <f t="shared" si="52"/>
        <v>0</v>
      </c>
      <c r="CW40" s="242">
        <f t="shared" si="52"/>
        <v>0</v>
      </c>
      <c r="CX40" s="242">
        <f t="shared" si="52"/>
        <v>0</v>
      </c>
      <c r="CY40" s="242">
        <f t="shared" si="52"/>
        <v>0</v>
      </c>
      <c r="CZ40" s="242">
        <f t="shared" si="52"/>
        <v>0</v>
      </c>
      <c r="DA40" s="242">
        <f t="shared" si="52"/>
        <v>0</v>
      </c>
      <c r="DB40" s="242">
        <f t="shared" si="52"/>
        <v>0</v>
      </c>
      <c r="DC40" s="242">
        <f t="shared" si="52"/>
        <v>0</v>
      </c>
    </row>
    <row r="41" spans="2:107" ht="15" customHeight="1" x14ac:dyDescent="0.25">
      <c r="B41" s="515">
        <v>20</v>
      </c>
      <c r="C41" s="225" t="s">
        <v>4226</v>
      </c>
      <c r="D41" s="225"/>
      <c r="E41" s="231" t="s">
        <v>3854</v>
      </c>
      <c r="F41" s="232" t="s">
        <v>4240</v>
      </c>
      <c r="G41" s="554">
        <f>SUM(H41:DC41)</f>
        <v>0</v>
      </c>
      <c r="H41" s="241">
        <f>(H32*H35)/1000</f>
        <v>0</v>
      </c>
      <c r="I41" s="241">
        <f t="shared" ref="I41:Z41" si="53">(I32*I35)/1000</f>
        <v>0</v>
      </c>
      <c r="J41" s="241">
        <f t="shared" si="53"/>
        <v>0</v>
      </c>
      <c r="K41" s="241">
        <f t="shared" si="53"/>
        <v>0</v>
      </c>
      <c r="L41" s="241">
        <f t="shared" si="53"/>
        <v>0</v>
      </c>
      <c r="M41" s="241">
        <f t="shared" si="53"/>
        <v>0</v>
      </c>
      <c r="N41" s="241">
        <f t="shared" si="53"/>
        <v>0</v>
      </c>
      <c r="O41" s="241">
        <f t="shared" si="53"/>
        <v>0</v>
      </c>
      <c r="P41" s="241">
        <f t="shared" si="53"/>
        <v>0</v>
      </c>
      <c r="Q41" s="241">
        <f t="shared" si="53"/>
        <v>0</v>
      </c>
      <c r="R41" s="241">
        <f t="shared" si="53"/>
        <v>0</v>
      </c>
      <c r="S41" s="241">
        <f t="shared" si="53"/>
        <v>0</v>
      </c>
      <c r="T41" s="241">
        <f t="shared" si="53"/>
        <v>0</v>
      </c>
      <c r="U41" s="241">
        <f t="shared" si="53"/>
        <v>0</v>
      </c>
      <c r="V41" s="241">
        <f t="shared" si="53"/>
        <v>0</v>
      </c>
      <c r="W41" s="241">
        <f t="shared" si="53"/>
        <v>0</v>
      </c>
      <c r="X41" s="241">
        <f t="shared" si="53"/>
        <v>0</v>
      </c>
      <c r="Y41" s="241">
        <f t="shared" si="53"/>
        <v>0</v>
      </c>
      <c r="Z41" s="241">
        <f t="shared" si="53"/>
        <v>0</v>
      </c>
      <c r="AA41" s="241">
        <f t="shared" ref="AA41:CL41" si="54">(AA32*AA35)/1000</f>
        <v>0</v>
      </c>
      <c r="AB41" s="241">
        <f t="shared" si="54"/>
        <v>0</v>
      </c>
      <c r="AC41" s="241">
        <f t="shared" si="54"/>
        <v>0</v>
      </c>
      <c r="AD41" s="241">
        <f t="shared" si="54"/>
        <v>0</v>
      </c>
      <c r="AE41" s="241">
        <f t="shared" si="54"/>
        <v>0</v>
      </c>
      <c r="AF41" s="241">
        <f t="shared" si="54"/>
        <v>0</v>
      </c>
      <c r="AG41" s="241">
        <f t="shared" si="54"/>
        <v>0</v>
      </c>
      <c r="AH41" s="241">
        <f t="shared" si="54"/>
        <v>0</v>
      </c>
      <c r="AI41" s="241">
        <f t="shared" si="54"/>
        <v>0</v>
      </c>
      <c r="AJ41" s="241">
        <f t="shared" si="54"/>
        <v>0</v>
      </c>
      <c r="AK41" s="241">
        <f t="shared" si="54"/>
        <v>0</v>
      </c>
      <c r="AL41" s="241">
        <f t="shared" si="54"/>
        <v>0</v>
      </c>
      <c r="AM41" s="241">
        <f t="shared" si="54"/>
        <v>0</v>
      </c>
      <c r="AN41" s="241">
        <f t="shared" si="54"/>
        <v>0</v>
      </c>
      <c r="AO41" s="241">
        <f t="shared" si="54"/>
        <v>0</v>
      </c>
      <c r="AP41" s="241">
        <f t="shared" si="54"/>
        <v>0</v>
      </c>
      <c r="AQ41" s="241">
        <f t="shared" si="54"/>
        <v>0</v>
      </c>
      <c r="AR41" s="241">
        <f t="shared" si="54"/>
        <v>0</v>
      </c>
      <c r="AS41" s="241">
        <f t="shared" si="54"/>
        <v>0</v>
      </c>
      <c r="AT41" s="241">
        <f t="shared" si="54"/>
        <v>0</v>
      </c>
      <c r="AU41" s="241">
        <f t="shared" si="54"/>
        <v>0</v>
      </c>
      <c r="AV41" s="241">
        <f t="shared" si="54"/>
        <v>0</v>
      </c>
      <c r="AW41" s="241">
        <f t="shared" si="54"/>
        <v>0</v>
      </c>
      <c r="AX41" s="241">
        <f t="shared" si="54"/>
        <v>0</v>
      </c>
      <c r="AY41" s="241">
        <f t="shared" si="54"/>
        <v>0</v>
      </c>
      <c r="AZ41" s="241">
        <f t="shared" si="54"/>
        <v>0</v>
      </c>
      <c r="BA41" s="241">
        <f t="shared" si="54"/>
        <v>0</v>
      </c>
      <c r="BB41" s="241">
        <f t="shared" si="54"/>
        <v>0</v>
      </c>
      <c r="BC41" s="241">
        <f t="shared" si="54"/>
        <v>0</v>
      </c>
      <c r="BD41" s="241">
        <f t="shared" si="54"/>
        <v>0</v>
      </c>
      <c r="BE41" s="241">
        <f t="shared" si="54"/>
        <v>0</v>
      </c>
      <c r="BF41" s="241">
        <f t="shared" si="54"/>
        <v>0</v>
      </c>
      <c r="BG41" s="241">
        <f t="shared" si="54"/>
        <v>0</v>
      </c>
      <c r="BH41" s="241">
        <f t="shared" si="54"/>
        <v>0</v>
      </c>
      <c r="BI41" s="241">
        <f t="shared" si="54"/>
        <v>0</v>
      </c>
      <c r="BJ41" s="241">
        <f t="shared" si="54"/>
        <v>0</v>
      </c>
      <c r="BK41" s="241">
        <f t="shared" si="54"/>
        <v>0</v>
      </c>
      <c r="BL41" s="241">
        <f t="shared" si="54"/>
        <v>0</v>
      </c>
      <c r="BM41" s="241">
        <f t="shared" si="54"/>
        <v>0</v>
      </c>
      <c r="BN41" s="241">
        <f t="shared" si="54"/>
        <v>0</v>
      </c>
      <c r="BO41" s="241">
        <f t="shared" si="54"/>
        <v>0</v>
      </c>
      <c r="BP41" s="241">
        <f t="shared" si="54"/>
        <v>0</v>
      </c>
      <c r="BQ41" s="241">
        <f t="shared" si="54"/>
        <v>0</v>
      </c>
      <c r="BR41" s="241">
        <f t="shared" si="54"/>
        <v>0</v>
      </c>
      <c r="BS41" s="241">
        <f t="shared" si="54"/>
        <v>0</v>
      </c>
      <c r="BT41" s="241">
        <f t="shared" si="54"/>
        <v>0</v>
      </c>
      <c r="BU41" s="241">
        <f t="shared" si="54"/>
        <v>0</v>
      </c>
      <c r="BV41" s="241">
        <f t="shared" si="54"/>
        <v>0</v>
      </c>
      <c r="BW41" s="241">
        <f t="shared" si="54"/>
        <v>0</v>
      </c>
      <c r="BX41" s="241">
        <f t="shared" si="54"/>
        <v>0</v>
      </c>
      <c r="BY41" s="241">
        <f t="shared" si="54"/>
        <v>0</v>
      </c>
      <c r="BZ41" s="241">
        <f t="shared" si="54"/>
        <v>0</v>
      </c>
      <c r="CA41" s="241">
        <f t="shared" si="54"/>
        <v>0</v>
      </c>
      <c r="CB41" s="241">
        <f t="shared" si="54"/>
        <v>0</v>
      </c>
      <c r="CC41" s="241">
        <f t="shared" si="54"/>
        <v>0</v>
      </c>
      <c r="CD41" s="241">
        <f t="shared" si="54"/>
        <v>0</v>
      </c>
      <c r="CE41" s="241">
        <f t="shared" si="54"/>
        <v>0</v>
      </c>
      <c r="CF41" s="241">
        <f t="shared" si="54"/>
        <v>0</v>
      </c>
      <c r="CG41" s="241">
        <f t="shared" si="54"/>
        <v>0</v>
      </c>
      <c r="CH41" s="241">
        <f t="shared" si="54"/>
        <v>0</v>
      </c>
      <c r="CI41" s="241">
        <f t="shared" si="54"/>
        <v>0</v>
      </c>
      <c r="CJ41" s="241">
        <f t="shared" si="54"/>
        <v>0</v>
      </c>
      <c r="CK41" s="241">
        <f t="shared" si="54"/>
        <v>0</v>
      </c>
      <c r="CL41" s="241">
        <f t="shared" si="54"/>
        <v>0</v>
      </c>
      <c r="CM41" s="241">
        <f t="shared" ref="CM41:DC41" si="55">(CM32*CM35)/1000</f>
        <v>0</v>
      </c>
      <c r="CN41" s="241">
        <f t="shared" si="55"/>
        <v>0</v>
      </c>
      <c r="CO41" s="241">
        <f t="shared" si="55"/>
        <v>0</v>
      </c>
      <c r="CP41" s="241">
        <f t="shared" si="55"/>
        <v>0</v>
      </c>
      <c r="CQ41" s="241">
        <f t="shared" si="55"/>
        <v>0</v>
      </c>
      <c r="CR41" s="241">
        <f t="shared" si="55"/>
        <v>0</v>
      </c>
      <c r="CS41" s="241">
        <f t="shared" si="55"/>
        <v>0</v>
      </c>
      <c r="CT41" s="241">
        <f t="shared" si="55"/>
        <v>0</v>
      </c>
      <c r="CU41" s="241">
        <f t="shared" si="55"/>
        <v>0</v>
      </c>
      <c r="CV41" s="241">
        <f t="shared" si="55"/>
        <v>0</v>
      </c>
      <c r="CW41" s="241">
        <f t="shared" si="55"/>
        <v>0</v>
      </c>
      <c r="CX41" s="241">
        <f t="shared" si="55"/>
        <v>0</v>
      </c>
      <c r="CY41" s="241">
        <f t="shared" si="55"/>
        <v>0</v>
      </c>
      <c r="CZ41" s="241">
        <f t="shared" si="55"/>
        <v>0</v>
      </c>
      <c r="DA41" s="241">
        <f t="shared" si="55"/>
        <v>0</v>
      </c>
      <c r="DB41" s="241">
        <f t="shared" si="55"/>
        <v>0</v>
      </c>
      <c r="DC41" s="241">
        <f t="shared" si="55"/>
        <v>0</v>
      </c>
    </row>
    <row r="42" spans="2:107" ht="15" customHeight="1" x14ac:dyDescent="0.25">
      <c r="B42" s="515">
        <v>21</v>
      </c>
      <c r="C42" s="225" t="s">
        <v>4228</v>
      </c>
      <c r="D42" s="225"/>
      <c r="E42" s="226" t="s">
        <v>3857</v>
      </c>
      <c r="F42" s="232" t="s">
        <v>4241</v>
      </c>
      <c r="G42" s="243">
        <f>SUM(H42:DC42)</f>
        <v>0</v>
      </c>
      <c r="H42" s="244">
        <f>H32*H40</f>
        <v>0</v>
      </c>
      <c r="I42" s="244">
        <f t="shared" ref="I42:Z42" si="56">I32*I40</f>
        <v>0</v>
      </c>
      <c r="J42" s="244">
        <f t="shared" si="56"/>
        <v>0</v>
      </c>
      <c r="K42" s="244">
        <f t="shared" si="56"/>
        <v>0</v>
      </c>
      <c r="L42" s="244">
        <f t="shared" si="56"/>
        <v>0</v>
      </c>
      <c r="M42" s="244">
        <f t="shared" si="56"/>
        <v>0</v>
      </c>
      <c r="N42" s="244">
        <f t="shared" si="56"/>
        <v>0</v>
      </c>
      <c r="O42" s="244">
        <f t="shared" si="56"/>
        <v>0</v>
      </c>
      <c r="P42" s="244">
        <f t="shared" si="56"/>
        <v>0</v>
      </c>
      <c r="Q42" s="244">
        <f t="shared" si="56"/>
        <v>0</v>
      </c>
      <c r="R42" s="244">
        <f t="shared" si="56"/>
        <v>0</v>
      </c>
      <c r="S42" s="244">
        <f t="shared" si="56"/>
        <v>0</v>
      </c>
      <c r="T42" s="244">
        <f t="shared" si="56"/>
        <v>0</v>
      </c>
      <c r="U42" s="244">
        <f t="shared" si="56"/>
        <v>0</v>
      </c>
      <c r="V42" s="244">
        <f t="shared" si="56"/>
        <v>0</v>
      </c>
      <c r="W42" s="244">
        <f t="shared" si="56"/>
        <v>0</v>
      </c>
      <c r="X42" s="244">
        <f t="shared" si="56"/>
        <v>0</v>
      </c>
      <c r="Y42" s="244">
        <f t="shared" si="56"/>
        <v>0</v>
      </c>
      <c r="Z42" s="244">
        <f t="shared" si="56"/>
        <v>0</v>
      </c>
      <c r="AA42" s="244">
        <f t="shared" ref="AA42:CL42" si="57">AA32*AA40</f>
        <v>0</v>
      </c>
      <c r="AB42" s="244">
        <f t="shared" si="57"/>
        <v>0</v>
      </c>
      <c r="AC42" s="244">
        <f t="shared" si="57"/>
        <v>0</v>
      </c>
      <c r="AD42" s="244">
        <f t="shared" si="57"/>
        <v>0</v>
      </c>
      <c r="AE42" s="244">
        <f t="shared" si="57"/>
        <v>0</v>
      </c>
      <c r="AF42" s="244">
        <f t="shared" si="57"/>
        <v>0</v>
      </c>
      <c r="AG42" s="244">
        <f t="shared" si="57"/>
        <v>0</v>
      </c>
      <c r="AH42" s="244">
        <f t="shared" si="57"/>
        <v>0</v>
      </c>
      <c r="AI42" s="244">
        <f t="shared" si="57"/>
        <v>0</v>
      </c>
      <c r="AJ42" s="244">
        <f t="shared" si="57"/>
        <v>0</v>
      </c>
      <c r="AK42" s="244">
        <f t="shared" si="57"/>
        <v>0</v>
      </c>
      <c r="AL42" s="244">
        <f t="shared" si="57"/>
        <v>0</v>
      </c>
      <c r="AM42" s="244">
        <f t="shared" si="57"/>
        <v>0</v>
      </c>
      <c r="AN42" s="244">
        <f t="shared" si="57"/>
        <v>0</v>
      </c>
      <c r="AO42" s="244">
        <f t="shared" si="57"/>
        <v>0</v>
      </c>
      <c r="AP42" s="244">
        <f t="shared" si="57"/>
        <v>0</v>
      </c>
      <c r="AQ42" s="244">
        <f t="shared" si="57"/>
        <v>0</v>
      </c>
      <c r="AR42" s="244">
        <f t="shared" si="57"/>
        <v>0</v>
      </c>
      <c r="AS42" s="244">
        <f t="shared" si="57"/>
        <v>0</v>
      </c>
      <c r="AT42" s="244">
        <f t="shared" si="57"/>
        <v>0</v>
      </c>
      <c r="AU42" s="244">
        <f t="shared" si="57"/>
        <v>0</v>
      </c>
      <c r="AV42" s="244">
        <f t="shared" si="57"/>
        <v>0</v>
      </c>
      <c r="AW42" s="244">
        <f t="shared" si="57"/>
        <v>0</v>
      </c>
      <c r="AX42" s="244">
        <f t="shared" si="57"/>
        <v>0</v>
      </c>
      <c r="AY42" s="244">
        <f t="shared" si="57"/>
        <v>0</v>
      </c>
      <c r="AZ42" s="244">
        <f t="shared" si="57"/>
        <v>0</v>
      </c>
      <c r="BA42" s="244">
        <f t="shared" si="57"/>
        <v>0</v>
      </c>
      <c r="BB42" s="244">
        <f t="shared" si="57"/>
        <v>0</v>
      </c>
      <c r="BC42" s="244">
        <f t="shared" si="57"/>
        <v>0</v>
      </c>
      <c r="BD42" s="244">
        <f t="shared" si="57"/>
        <v>0</v>
      </c>
      <c r="BE42" s="244">
        <f t="shared" si="57"/>
        <v>0</v>
      </c>
      <c r="BF42" s="244">
        <f t="shared" si="57"/>
        <v>0</v>
      </c>
      <c r="BG42" s="244">
        <f t="shared" si="57"/>
        <v>0</v>
      </c>
      <c r="BH42" s="244">
        <f t="shared" si="57"/>
        <v>0</v>
      </c>
      <c r="BI42" s="244">
        <f t="shared" si="57"/>
        <v>0</v>
      </c>
      <c r="BJ42" s="244">
        <f t="shared" si="57"/>
        <v>0</v>
      </c>
      <c r="BK42" s="244">
        <f t="shared" si="57"/>
        <v>0</v>
      </c>
      <c r="BL42" s="244">
        <f t="shared" si="57"/>
        <v>0</v>
      </c>
      <c r="BM42" s="244">
        <f t="shared" si="57"/>
        <v>0</v>
      </c>
      <c r="BN42" s="244">
        <f t="shared" si="57"/>
        <v>0</v>
      </c>
      <c r="BO42" s="244">
        <f t="shared" si="57"/>
        <v>0</v>
      </c>
      <c r="BP42" s="244">
        <f t="shared" si="57"/>
        <v>0</v>
      </c>
      <c r="BQ42" s="244">
        <f t="shared" si="57"/>
        <v>0</v>
      </c>
      <c r="BR42" s="244">
        <f t="shared" si="57"/>
        <v>0</v>
      </c>
      <c r="BS42" s="244">
        <f t="shared" si="57"/>
        <v>0</v>
      </c>
      <c r="BT42" s="244">
        <f t="shared" si="57"/>
        <v>0</v>
      </c>
      <c r="BU42" s="244">
        <f t="shared" si="57"/>
        <v>0</v>
      </c>
      <c r="BV42" s="244">
        <f t="shared" si="57"/>
        <v>0</v>
      </c>
      <c r="BW42" s="244">
        <f t="shared" si="57"/>
        <v>0</v>
      </c>
      <c r="BX42" s="244">
        <f t="shared" si="57"/>
        <v>0</v>
      </c>
      <c r="BY42" s="244">
        <f t="shared" si="57"/>
        <v>0</v>
      </c>
      <c r="BZ42" s="244">
        <f t="shared" si="57"/>
        <v>0</v>
      </c>
      <c r="CA42" s="244">
        <f t="shared" si="57"/>
        <v>0</v>
      </c>
      <c r="CB42" s="244">
        <f t="shared" si="57"/>
        <v>0</v>
      </c>
      <c r="CC42" s="244">
        <f t="shared" si="57"/>
        <v>0</v>
      </c>
      <c r="CD42" s="244">
        <f t="shared" si="57"/>
        <v>0</v>
      </c>
      <c r="CE42" s="244">
        <f t="shared" si="57"/>
        <v>0</v>
      </c>
      <c r="CF42" s="244">
        <f t="shared" si="57"/>
        <v>0</v>
      </c>
      <c r="CG42" s="244">
        <f t="shared" si="57"/>
        <v>0</v>
      </c>
      <c r="CH42" s="244">
        <f t="shared" si="57"/>
        <v>0</v>
      </c>
      <c r="CI42" s="244">
        <f t="shared" si="57"/>
        <v>0</v>
      </c>
      <c r="CJ42" s="244">
        <f t="shared" si="57"/>
        <v>0</v>
      </c>
      <c r="CK42" s="244">
        <f t="shared" si="57"/>
        <v>0</v>
      </c>
      <c r="CL42" s="244">
        <f t="shared" si="57"/>
        <v>0</v>
      </c>
      <c r="CM42" s="244">
        <f t="shared" ref="CM42:DC42" si="58">CM32*CM40</f>
        <v>0</v>
      </c>
      <c r="CN42" s="244">
        <f t="shared" si="58"/>
        <v>0</v>
      </c>
      <c r="CO42" s="244">
        <f t="shared" si="58"/>
        <v>0</v>
      </c>
      <c r="CP42" s="244">
        <f t="shared" si="58"/>
        <v>0</v>
      </c>
      <c r="CQ42" s="244">
        <f t="shared" si="58"/>
        <v>0</v>
      </c>
      <c r="CR42" s="244">
        <f t="shared" si="58"/>
        <v>0</v>
      </c>
      <c r="CS42" s="244">
        <f t="shared" si="58"/>
        <v>0</v>
      </c>
      <c r="CT42" s="244">
        <f t="shared" si="58"/>
        <v>0</v>
      </c>
      <c r="CU42" s="244">
        <f t="shared" si="58"/>
        <v>0</v>
      </c>
      <c r="CV42" s="244">
        <f t="shared" si="58"/>
        <v>0</v>
      </c>
      <c r="CW42" s="244">
        <f t="shared" si="58"/>
        <v>0</v>
      </c>
      <c r="CX42" s="244">
        <f t="shared" si="58"/>
        <v>0</v>
      </c>
      <c r="CY42" s="244">
        <f t="shared" si="58"/>
        <v>0</v>
      </c>
      <c r="CZ42" s="244">
        <f t="shared" si="58"/>
        <v>0</v>
      </c>
      <c r="DA42" s="244">
        <f t="shared" si="58"/>
        <v>0</v>
      </c>
      <c r="DB42" s="244">
        <f t="shared" si="58"/>
        <v>0</v>
      </c>
      <c r="DC42" s="244">
        <f t="shared" si="58"/>
        <v>0</v>
      </c>
    </row>
    <row r="44" spans="2:107" ht="15" customHeight="1" x14ac:dyDescent="0.25">
      <c r="B44" s="779" t="s">
        <v>4714</v>
      </c>
      <c r="C44" s="779"/>
      <c r="D44" s="779"/>
      <c r="E44" s="779"/>
      <c r="F44" s="779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</row>
    <row r="45" spans="2:107" s="103" customFormat="1" ht="15" customHeight="1" x14ac:dyDescent="0.25">
      <c r="B45" s="515"/>
      <c r="C45" s="247"/>
      <c r="D45" s="247"/>
      <c r="E45" s="247"/>
      <c r="F45" s="245"/>
      <c r="G45" s="223" t="s">
        <v>76</v>
      </c>
      <c r="H45" s="224" t="s">
        <v>4606</v>
      </c>
      <c r="I45" s="224" t="s">
        <v>4607</v>
      </c>
      <c r="J45" s="224" t="s">
        <v>4608</v>
      </c>
      <c r="K45" s="224" t="s">
        <v>4609</v>
      </c>
      <c r="L45" s="224" t="s">
        <v>4610</v>
      </c>
      <c r="M45" s="224" t="s">
        <v>4611</v>
      </c>
      <c r="N45" s="224" t="s">
        <v>4612</v>
      </c>
      <c r="O45" s="224" t="s">
        <v>4613</v>
      </c>
      <c r="P45" s="224" t="s">
        <v>4614</v>
      </c>
      <c r="Q45" s="224" t="s">
        <v>4615</v>
      </c>
      <c r="R45" s="224" t="s">
        <v>4616</v>
      </c>
      <c r="S45" s="224" t="s">
        <v>4617</v>
      </c>
      <c r="T45" s="224" t="s">
        <v>4618</v>
      </c>
      <c r="U45" s="224" t="s">
        <v>4619</v>
      </c>
      <c r="V45" s="224" t="s">
        <v>4620</v>
      </c>
      <c r="W45" s="224" t="s">
        <v>4621</v>
      </c>
      <c r="X45" s="224" t="s">
        <v>4622</v>
      </c>
      <c r="Y45" s="224" t="s">
        <v>4623</v>
      </c>
      <c r="Z45" s="224" t="s">
        <v>4624</v>
      </c>
      <c r="AA45" s="224" t="s">
        <v>4625</v>
      </c>
      <c r="AB45" s="224" t="s">
        <v>4626</v>
      </c>
      <c r="AC45" s="224" t="s">
        <v>4627</v>
      </c>
      <c r="AD45" s="224" t="s">
        <v>4628</v>
      </c>
      <c r="AE45" s="224" t="s">
        <v>4629</v>
      </c>
      <c r="AF45" s="224" t="s">
        <v>4630</v>
      </c>
      <c r="AG45" s="224" t="s">
        <v>4631</v>
      </c>
      <c r="AH45" s="224" t="s">
        <v>4632</v>
      </c>
      <c r="AI45" s="224" t="s">
        <v>4633</v>
      </c>
      <c r="AJ45" s="224" t="s">
        <v>4634</v>
      </c>
      <c r="AK45" s="224" t="s">
        <v>4635</v>
      </c>
      <c r="AL45" s="224" t="s">
        <v>4636</v>
      </c>
      <c r="AM45" s="224" t="s">
        <v>4637</v>
      </c>
      <c r="AN45" s="224" t="s">
        <v>4638</v>
      </c>
      <c r="AO45" s="224" t="s">
        <v>4639</v>
      </c>
      <c r="AP45" s="224" t="s">
        <v>4640</v>
      </c>
      <c r="AQ45" s="224" t="s">
        <v>4641</v>
      </c>
      <c r="AR45" s="224" t="s">
        <v>4642</v>
      </c>
      <c r="AS45" s="224" t="s">
        <v>4643</v>
      </c>
      <c r="AT45" s="224" t="s">
        <v>4644</v>
      </c>
      <c r="AU45" s="224" t="s">
        <v>4645</v>
      </c>
      <c r="AV45" s="224" t="s">
        <v>4646</v>
      </c>
      <c r="AW45" s="224" t="s">
        <v>4647</v>
      </c>
      <c r="AX45" s="224" t="s">
        <v>4648</v>
      </c>
      <c r="AY45" s="224" t="s">
        <v>4649</v>
      </c>
      <c r="AZ45" s="224" t="s">
        <v>4650</v>
      </c>
      <c r="BA45" s="224" t="s">
        <v>4651</v>
      </c>
      <c r="BB45" s="224" t="s">
        <v>4652</v>
      </c>
      <c r="BC45" s="224" t="s">
        <v>4653</v>
      </c>
      <c r="BD45" s="224" t="s">
        <v>4654</v>
      </c>
      <c r="BE45" s="224" t="s">
        <v>4655</v>
      </c>
      <c r="BF45" s="224" t="s">
        <v>4656</v>
      </c>
      <c r="BG45" s="224" t="s">
        <v>4657</v>
      </c>
      <c r="BH45" s="224" t="s">
        <v>4658</v>
      </c>
      <c r="BI45" s="224" t="s">
        <v>4659</v>
      </c>
      <c r="BJ45" s="224" t="s">
        <v>4660</v>
      </c>
      <c r="BK45" s="224" t="s">
        <v>4661</v>
      </c>
      <c r="BL45" s="224" t="s">
        <v>4662</v>
      </c>
      <c r="BM45" s="224" t="s">
        <v>4663</v>
      </c>
      <c r="BN45" s="224" t="s">
        <v>4664</v>
      </c>
      <c r="BO45" s="224" t="s">
        <v>4665</v>
      </c>
      <c r="BP45" s="224" t="s">
        <v>4666</v>
      </c>
      <c r="BQ45" s="224" t="s">
        <v>4667</v>
      </c>
      <c r="BR45" s="224" t="s">
        <v>4668</v>
      </c>
      <c r="BS45" s="224" t="s">
        <v>4669</v>
      </c>
      <c r="BT45" s="224" t="s">
        <v>4670</v>
      </c>
      <c r="BU45" s="224" t="s">
        <v>4671</v>
      </c>
      <c r="BV45" s="224" t="s">
        <v>4672</v>
      </c>
      <c r="BW45" s="224" t="s">
        <v>4673</v>
      </c>
      <c r="BX45" s="224" t="s">
        <v>4674</v>
      </c>
      <c r="BY45" s="224" t="s">
        <v>4675</v>
      </c>
      <c r="BZ45" s="224" t="s">
        <v>4676</v>
      </c>
      <c r="CA45" s="224" t="s">
        <v>4677</v>
      </c>
      <c r="CB45" s="224" t="s">
        <v>4678</v>
      </c>
      <c r="CC45" s="224" t="s">
        <v>4679</v>
      </c>
      <c r="CD45" s="224" t="s">
        <v>4680</v>
      </c>
      <c r="CE45" s="224" t="s">
        <v>4681</v>
      </c>
      <c r="CF45" s="224" t="s">
        <v>4682</v>
      </c>
      <c r="CG45" s="224" t="s">
        <v>4683</v>
      </c>
      <c r="CH45" s="224" t="s">
        <v>4684</v>
      </c>
      <c r="CI45" s="224" t="s">
        <v>4685</v>
      </c>
      <c r="CJ45" s="224" t="s">
        <v>4686</v>
      </c>
      <c r="CK45" s="224" t="s">
        <v>4687</v>
      </c>
      <c r="CL45" s="224" t="s">
        <v>4688</v>
      </c>
      <c r="CM45" s="224" t="s">
        <v>4689</v>
      </c>
      <c r="CN45" s="224" t="s">
        <v>4690</v>
      </c>
      <c r="CO45" s="224" t="s">
        <v>4691</v>
      </c>
      <c r="CP45" s="224" t="s">
        <v>4692</v>
      </c>
      <c r="CQ45" s="224" t="s">
        <v>4693</v>
      </c>
      <c r="CR45" s="224" t="s">
        <v>4694</v>
      </c>
      <c r="CS45" s="224" t="s">
        <v>4695</v>
      </c>
      <c r="CT45" s="224" t="s">
        <v>4696</v>
      </c>
      <c r="CU45" s="224" t="s">
        <v>4697</v>
      </c>
      <c r="CV45" s="224" t="s">
        <v>4698</v>
      </c>
      <c r="CW45" s="224" t="s">
        <v>4699</v>
      </c>
      <c r="CX45" s="224" t="s">
        <v>4700</v>
      </c>
      <c r="CY45" s="224" t="s">
        <v>4701</v>
      </c>
      <c r="CZ45" s="224" t="s">
        <v>4702</v>
      </c>
      <c r="DA45" s="224" t="s">
        <v>4703</v>
      </c>
      <c r="DB45" s="224" t="s">
        <v>4704</v>
      </c>
      <c r="DC45" s="224" t="s">
        <v>4705</v>
      </c>
    </row>
    <row r="46" spans="2:107" ht="15" customHeight="1" x14ac:dyDescent="0.25">
      <c r="B46" s="515">
        <v>22</v>
      </c>
      <c r="C46" s="248" t="s">
        <v>3901</v>
      </c>
      <c r="D46" s="248"/>
      <c r="E46" s="557" t="s">
        <v>3857</v>
      </c>
      <c r="F46" s="232" t="s">
        <v>4243</v>
      </c>
      <c r="G46" s="243">
        <f>SUM(H46:DC46)</f>
        <v>0</v>
      </c>
      <c r="H46" s="241">
        <f>H21-H42</f>
        <v>0</v>
      </c>
      <c r="I46" s="241">
        <f t="shared" ref="I46:AM46" si="59">I21-I42</f>
        <v>0</v>
      </c>
      <c r="J46" s="241">
        <f t="shared" si="59"/>
        <v>0</v>
      </c>
      <c r="K46" s="241">
        <f t="shared" si="59"/>
        <v>0</v>
      </c>
      <c r="L46" s="241">
        <f t="shared" si="59"/>
        <v>0</v>
      </c>
      <c r="M46" s="241">
        <f t="shared" si="59"/>
        <v>0</v>
      </c>
      <c r="N46" s="241">
        <f t="shared" si="59"/>
        <v>0</v>
      </c>
      <c r="O46" s="241">
        <f t="shared" si="59"/>
        <v>0</v>
      </c>
      <c r="P46" s="241">
        <f t="shared" si="59"/>
        <v>0</v>
      </c>
      <c r="Q46" s="241">
        <f t="shared" si="59"/>
        <v>0</v>
      </c>
      <c r="R46" s="241">
        <f t="shared" si="59"/>
        <v>0</v>
      </c>
      <c r="S46" s="241">
        <f t="shared" si="59"/>
        <v>0</v>
      </c>
      <c r="T46" s="241">
        <f t="shared" si="59"/>
        <v>0</v>
      </c>
      <c r="U46" s="241">
        <f t="shared" si="59"/>
        <v>0</v>
      </c>
      <c r="V46" s="241">
        <f t="shared" si="59"/>
        <v>0</v>
      </c>
      <c r="W46" s="241">
        <f t="shared" si="59"/>
        <v>0</v>
      </c>
      <c r="X46" s="241">
        <f t="shared" si="59"/>
        <v>0</v>
      </c>
      <c r="Y46" s="241">
        <f t="shared" si="59"/>
        <v>0</v>
      </c>
      <c r="Z46" s="241">
        <f t="shared" si="59"/>
        <v>0</v>
      </c>
      <c r="AA46" s="241">
        <f t="shared" si="59"/>
        <v>0</v>
      </c>
      <c r="AB46" s="241">
        <f t="shared" si="59"/>
        <v>0</v>
      </c>
      <c r="AC46" s="241">
        <f t="shared" si="59"/>
        <v>0</v>
      </c>
      <c r="AD46" s="241">
        <f t="shared" si="59"/>
        <v>0</v>
      </c>
      <c r="AE46" s="241">
        <f t="shared" si="59"/>
        <v>0</v>
      </c>
      <c r="AF46" s="241">
        <f t="shared" si="59"/>
        <v>0</v>
      </c>
      <c r="AG46" s="241">
        <f t="shared" si="59"/>
        <v>0</v>
      </c>
      <c r="AH46" s="241">
        <f t="shared" si="59"/>
        <v>0</v>
      </c>
      <c r="AI46" s="241">
        <f t="shared" si="59"/>
        <v>0</v>
      </c>
      <c r="AJ46" s="241">
        <f t="shared" si="59"/>
        <v>0</v>
      </c>
      <c r="AK46" s="241">
        <f t="shared" si="59"/>
        <v>0</v>
      </c>
      <c r="AL46" s="241">
        <f t="shared" si="59"/>
        <v>0</v>
      </c>
      <c r="AM46" s="241">
        <f t="shared" si="59"/>
        <v>0</v>
      </c>
      <c r="AN46" s="241">
        <f t="shared" ref="AN46:BS46" si="60">AN21-AN42</f>
        <v>0</v>
      </c>
      <c r="AO46" s="241">
        <f t="shared" si="60"/>
        <v>0</v>
      </c>
      <c r="AP46" s="241">
        <f t="shared" si="60"/>
        <v>0</v>
      </c>
      <c r="AQ46" s="241">
        <f t="shared" si="60"/>
        <v>0</v>
      </c>
      <c r="AR46" s="241">
        <f t="shared" si="60"/>
        <v>0</v>
      </c>
      <c r="AS46" s="241">
        <f t="shared" si="60"/>
        <v>0</v>
      </c>
      <c r="AT46" s="241">
        <f t="shared" si="60"/>
        <v>0</v>
      </c>
      <c r="AU46" s="241">
        <f t="shared" si="60"/>
        <v>0</v>
      </c>
      <c r="AV46" s="241">
        <f t="shared" si="60"/>
        <v>0</v>
      </c>
      <c r="AW46" s="241">
        <f t="shared" si="60"/>
        <v>0</v>
      </c>
      <c r="AX46" s="241">
        <f t="shared" si="60"/>
        <v>0</v>
      </c>
      <c r="AY46" s="241">
        <f t="shared" si="60"/>
        <v>0</v>
      </c>
      <c r="AZ46" s="241">
        <f t="shared" si="60"/>
        <v>0</v>
      </c>
      <c r="BA46" s="241">
        <f t="shared" si="60"/>
        <v>0</v>
      </c>
      <c r="BB46" s="241">
        <f t="shared" si="60"/>
        <v>0</v>
      </c>
      <c r="BC46" s="241">
        <f t="shared" si="60"/>
        <v>0</v>
      </c>
      <c r="BD46" s="241">
        <f t="shared" si="60"/>
        <v>0</v>
      </c>
      <c r="BE46" s="241">
        <f t="shared" si="60"/>
        <v>0</v>
      </c>
      <c r="BF46" s="241">
        <f t="shared" si="60"/>
        <v>0</v>
      </c>
      <c r="BG46" s="241">
        <f t="shared" si="60"/>
        <v>0</v>
      </c>
      <c r="BH46" s="241">
        <f t="shared" si="60"/>
        <v>0</v>
      </c>
      <c r="BI46" s="241">
        <f t="shared" si="60"/>
        <v>0</v>
      </c>
      <c r="BJ46" s="241">
        <f t="shared" si="60"/>
        <v>0</v>
      </c>
      <c r="BK46" s="241">
        <f t="shared" si="60"/>
        <v>0</v>
      </c>
      <c r="BL46" s="241">
        <f t="shared" si="60"/>
        <v>0</v>
      </c>
      <c r="BM46" s="241">
        <f t="shared" si="60"/>
        <v>0</v>
      </c>
      <c r="BN46" s="241">
        <f t="shared" si="60"/>
        <v>0</v>
      </c>
      <c r="BO46" s="241">
        <f t="shared" si="60"/>
        <v>0</v>
      </c>
      <c r="BP46" s="241">
        <f t="shared" si="60"/>
        <v>0</v>
      </c>
      <c r="BQ46" s="241">
        <f t="shared" si="60"/>
        <v>0</v>
      </c>
      <c r="BR46" s="241">
        <f t="shared" si="60"/>
        <v>0</v>
      </c>
      <c r="BS46" s="241">
        <f t="shared" si="60"/>
        <v>0</v>
      </c>
      <c r="BT46" s="241">
        <f t="shared" ref="BT46:DC46" si="61">BT21-BT42</f>
        <v>0</v>
      </c>
      <c r="BU46" s="241">
        <f t="shared" si="61"/>
        <v>0</v>
      </c>
      <c r="BV46" s="241">
        <f t="shared" si="61"/>
        <v>0</v>
      </c>
      <c r="BW46" s="241">
        <f t="shared" si="61"/>
        <v>0</v>
      </c>
      <c r="BX46" s="241">
        <f t="shared" si="61"/>
        <v>0</v>
      </c>
      <c r="BY46" s="241">
        <f t="shared" si="61"/>
        <v>0</v>
      </c>
      <c r="BZ46" s="241">
        <f t="shared" si="61"/>
        <v>0</v>
      </c>
      <c r="CA46" s="241">
        <f t="shared" si="61"/>
        <v>0</v>
      </c>
      <c r="CB46" s="241">
        <f t="shared" si="61"/>
        <v>0</v>
      </c>
      <c r="CC46" s="241">
        <f t="shared" si="61"/>
        <v>0</v>
      </c>
      <c r="CD46" s="241">
        <f t="shared" si="61"/>
        <v>0</v>
      </c>
      <c r="CE46" s="241">
        <f t="shared" si="61"/>
        <v>0</v>
      </c>
      <c r="CF46" s="241">
        <f t="shared" si="61"/>
        <v>0</v>
      </c>
      <c r="CG46" s="241">
        <f t="shared" si="61"/>
        <v>0</v>
      </c>
      <c r="CH46" s="241">
        <f t="shared" si="61"/>
        <v>0</v>
      </c>
      <c r="CI46" s="241">
        <f t="shared" si="61"/>
        <v>0</v>
      </c>
      <c r="CJ46" s="241">
        <f t="shared" si="61"/>
        <v>0</v>
      </c>
      <c r="CK46" s="241">
        <f t="shared" si="61"/>
        <v>0</v>
      </c>
      <c r="CL46" s="241">
        <f t="shared" si="61"/>
        <v>0</v>
      </c>
      <c r="CM46" s="241">
        <f t="shared" si="61"/>
        <v>0</v>
      </c>
      <c r="CN46" s="241">
        <f t="shared" si="61"/>
        <v>0</v>
      </c>
      <c r="CO46" s="241">
        <f t="shared" si="61"/>
        <v>0</v>
      </c>
      <c r="CP46" s="241">
        <f t="shared" si="61"/>
        <v>0</v>
      </c>
      <c r="CQ46" s="241">
        <f t="shared" si="61"/>
        <v>0</v>
      </c>
      <c r="CR46" s="241">
        <f t="shared" si="61"/>
        <v>0</v>
      </c>
      <c r="CS46" s="241">
        <f t="shared" si="61"/>
        <v>0</v>
      </c>
      <c r="CT46" s="241">
        <f t="shared" si="61"/>
        <v>0</v>
      </c>
      <c r="CU46" s="241">
        <f t="shared" si="61"/>
        <v>0</v>
      </c>
      <c r="CV46" s="241">
        <f t="shared" si="61"/>
        <v>0</v>
      </c>
      <c r="CW46" s="241">
        <f t="shared" si="61"/>
        <v>0</v>
      </c>
      <c r="CX46" s="241">
        <f t="shared" si="61"/>
        <v>0</v>
      </c>
      <c r="CY46" s="241">
        <f t="shared" si="61"/>
        <v>0</v>
      </c>
      <c r="CZ46" s="241">
        <f t="shared" si="61"/>
        <v>0</v>
      </c>
      <c r="DA46" s="241">
        <f t="shared" si="61"/>
        <v>0</v>
      </c>
      <c r="DB46" s="241">
        <f t="shared" si="61"/>
        <v>0</v>
      </c>
      <c r="DC46" s="241">
        <f t="shared" si="61"/>
        <v>0</v>
      </c>
    </row>
    <row r="47" spans="2:107" ht="15" customHeight="1" x14ac:dyDescent="0.25">
      <c r="B47" s="515">
        <v>23</v>
      </c>
      <c r="C47" s="249" t="s">
        <v>4244</v>
      </c>
      <c r="D47" s="250">
        <f>'Escolha tarifa'!F17</f>
        <v>0</v>
      </c>
      <c r="E47" s="558" t="s">
        <v>3912</v>
      </c>
      <c r="F47" s="232" t="s">
        <v>4245</v>
      </c>
      <c r="G47" s="251">
        <f t="shared" ref="G47:AL47" si="62">IF(G21=0,0,G46/G21)</f>
        <v>0</v>
      </c>
      <c r="H47" s="252">
        <f t="shared" si="62"/>
        <v>0</v>
      </c>
      <c r="I47" s="252">
        <f t="shared" si="62"/>
        <v>0</v>
      </c>
      <c r="J47" s="252">
        <f t="shared" si="62"/>
        <v>0</v>
      </c>
      <c r="K47" s="252">
        <f t="shared" si="62"/>
        <v>0</v>
      </c>
      <c r="L47" s="252">
        <f t="shared" si="62"/>
        <v>0</v>
      </c>
      <c r="M47" s="252">
        <f t="shared" si="62"/>
        <v>0</v>
      </c>
      <c r="N47" s="252">
        <f t="shared" si="62"/>
        <v>0</v>
      </c>
      <c r="O47" s="252">
        <f t="shared" si="62"/>
        <v>0</v>
      </c>
      <c r="P47" s="252">
        <f t="shared" si="62"/>
        <v>0</v>
      </c>
      <c r="Q47" s="252">
        <f t="shared" si="62"/>
        <v>0</v>
      </c>
      <c r="R47" s="252">
        <f t="shared" si="62"/>
        <v>0</v>
      </c>
      <c r="S47" s="252">
        <f t="shared" si="62"/>
        <v>0</v>
      </c>
      <c r="T47" s="252">
        <f t="shared" si="62"/>
        <v>0</v>
      </c>
      <c r="U47" s="252">
        <f t="shared" si="62"/>
        <v>0</v>
      </c>
      <c r="V47" s="252">
        <f t="shared" si="62"/>
        <v>0</v>
      </c>
      <c r="W47" s="252">
        <f t="shared" si="62"/>
        <v>0</v>
      </c>
      <c r="X47" s="252">
        <f t="shared" si="62"/>
        <v>0</v>
      </c>
      <c r="Y47" s="252">
        <f t="shared" si="62"/>
        <v>0</v>
      </c>
      <c r="Z47" s="252">
        <f t="shared" si="62"/>
        <v>0</v>
      </c>
      <c r="AA47" s="252">
        <f t="shared" si="62"/>
        <v>0</v>
      </c>
      <c r="AB47" s="252">
        <f t="shared" si="62"/>
        <v>0</v>
      </c>
      <c r="AC47" s="252">
        <f t="shared" si="62"/>
        <v>0</v>
      </c>
      <c r="AD47" s="252">
        <f t="shared" si="62"/>
        <v>0</v>
      </c>
      <c r="AE47" s="252">
        <f t="shared" si="62"/>
        <v>0</v>
      </c>
      <c r="AF47" s="252">
        <f t="shared" si="62"/>
        <v>0</v>
      </c>
      <c r="AG47" s="252">
        <f t="shared" si="62"/>
        <v>0</v>
      </c>
      <c r="AH47" s="252">
        <f t="shared" si="62"/>
        <v>0</v>
      </c>
      <c r="AI47" s="252">
        <f t="shared" si="62"/>
        <v>0</v>
      </c>
      <c r="AJ47" s="252">
        <f t="shared" si="62"/>
        <v>0</v>
      </c>
      <c r="AK47" s="252">
        <f t="shared" si="62"/>
        <v>0</v>
      </c>
      <c r="AL47" s="252">
        <f t="shared" si="62"/>
        <v>0</v>
      </c>
      <c r="AM47" s="252">
        <f t="shared" ref="AM47:BR47" si="63">IF(AM21=0,0,AM46/AM21)</f>
        <v>0</v>
      </c>
      <c r="AN47" s="252">
        <f t="shared" si="63"/>
        <v>0</v>
      </c>
      <c r="AO47" s="252">
        <f t="shared" si="63"/>
        <v>0</v>
      </c>
      <c r="AP47" s="252">
        <f t="shared" si="63"/>
        <v>0</v>
      </c>
      <c r="AQ47" s="252">
        <f t="shared" si="63"/>
        <v>0</v>
      </c>
      <c r="AR47" s="252">
        <f t="shared" si="63"/>
        <v>0</v>
      </c>
      <c r="AS47" s="252">
        <f t="shared" si="63"/>
        <v>0</v>
      </c>
      <c r="AT47" s="252">
        <f t="shared" si="63"/>
        <v>0</v>
      </c>
      <c r="AU47" s="252">
        <f t="shared" si="63"/>
        <v>0</v>
      </c>
      <c r="AV47" s="252">
        <f t="shared" si="63"/>
        <v>0</v>
      </c>
      <c r="AW47" s="252">
        <f t="shared" si="63"/>
        <v>0</v>
      </c>
      <c r="AX47" s="252">
        <f t="shared" si="63"/>
        <v>0</v>
      </c>
      <c r="AY47" s="252">
        <f t="shared" si="63"/>
        <v>0</v>
      </c>
      <c r="AZ47" s="252">
        <f t="shared" si="63"/>
        <v>0</v>
      </c>
      <c r="BA47" s="252">
        <f t="shared" si="63"/>
        <v>0</v>
      </c>
      <c r="BB47" s="252">
        <f t="shared" si="63"/>
        <v>0</v>
      </c>
      <c r="BC47" s="252">
        <f t="shared" si="63"/>
        <v>0</v>
      </c>
      <c r="BD47" s="252">
        <f t="shared" si="63"/>
        <v>0</v>
      </c>
      <c r="BE47" s="252">
        <f t="shared" si="63"/>
        <v>0</v>
      </c>
      <c r="BF47" s="252">
        <f t="shared" si="63"/>
        <v>0</v>
      </c>
      <c r="BG47" s="252">
        <f t="shared" si="63"/>
        <v>0</v>
      </c>
      <c r="BH47" s="252">
        <f t="shared" si="63"/>
        <v>0</v>
      </c>
      <c r="BI47" s="252">
        <f t="shared" si="63"/>
        <v>0</v>
      </c>
      <c r="BJ47" s="252">
        <f t="shared" si="63"/>
        <v>0</v>
      </c>
      <c r="BK47" s="252">
        <f t="shared" si="63"/>
        <v>0</v>
      </c>
      <c r="BL47" s="252">
        <f t="shared" si="63"/>
        <v>0</v>
      </c>
      <c r="BM47" s="252">
        <f t="shared" si="63"/>
        <v>0</v>
      </c>
      <c r="BN47" s="252">
        <f t="shared" si="63"/>
        <v>0</v>
      </c>
      <c r="BO47" s="252">
        <f t="shared" si="63"/>
        <v>0</v>
      </c>
      <c r="BP47" s="252">
        <f t="shared" si="63"/>
        <v>0</v>
      </c>
      <c r="BQ47" s="252">
        <f t="shared" si="63"/>
        <v>0</v>
      </c>
      <c r="BR47" s="252">
        <f t="shared" si="63"/>
        <v>0</v>
      </c>
      <c r="BS47" s="252">
        <f t="shared" ref="BS47:CX47" si="64">IF(BS21=0,0,BS46/BS21)</f>
        <v>0</v>
      </c>
      <c r="BT47" s="252">
        <f t="shared" si="64"/>
        <v>0</v>
      </c>
      <c r="BU47" s="252">
        <f t="shared" si="64"/>
        <v>0</v>
      </c>
      <c r="BV47" s="252">
        <f t="shared" si="64"/>
        <v>0</v>
      </c>
      <c r="BW47" s="252">
        <f t="shared" si="64"/>
        <v>0</v>
      </c>
      <c r="BX47" s="252">
        <f t="shared" si="64"/>
        <v>0</v>
      </c>
      <c r="BY47" s="252">
        <f t="shared" si="64"/>
        <v>0</v>
      </c>
      <c r="BZ47" s="252">
        <f t="shared" si="64"/>
        <v>0</v>
      </c>
      <c r="CA47" s="252">
        <f t="shared" si="64"/>
        <v>0</v>
      </c>
      <c r="CB47" s="252">
        <f t="shared" si="64"/>
        <v>0</v>
      </c>
      <c r="CC47" s="252">
        <f t="shared" si="64"/>
        <v>0</v>
      </c>
      <c r="CD47" s="252">
        <f t="shared" si="64"/>
        <v>0</v>
      </c>
      <c r="CE47" s="252">
        <f t="shared" si="64"/>
        <v>0</v>
      </c>
      <c r="CF47" s="252">
        <f t="shared" si="64"/>
        <v>0</v>
      </c>
      <c r="CG47" s="252">
        <f t="shared" si="64"/>
        <v>0</v>
      </c>
      <c r="CH47" s="252">
        <f t="shared" si="64"/>
        <v>0</v>
      </c>
      <c r="CI47" s="252">
        <f t="shared" si="64"/>
        <v>0</v>
      </c>
      <c r="CJ47" s="252">
        <f t="shared" si="64"/>
        <v>0</v>
      </c>
      <c r="CK47" s="252">
        <f t="shared" si="64"/>
        <v>0</v>
      </c>
      <c r="CL47" s="252">
        <f t="shared" si="64"/>
        <v>0</v>
      </c>
      <c r="CM47" s="252">
        <f t="shared" si="64"/>
        <v>0</v>
      </c>
      <c r="CN47" s="252">
        <f t="shared" si="64"/>
        <v>0</v>
      </c>
      <c r="CO47" s="252">
        <f t="shared" si="64"/>
        <v>0</v>
      </c>
      <c r="CP47" s="252">
        <f t="shared" si="64"/>
        <v>0</v>
      </c>
      <c r="CQ47" s="252">
        <f t="shared" si="64"/>
        <v>0</v>
      </c>
      <c r="CR47" s="252">
        <f t="shared" si="64"/>
        <v>0</v>
      </c>
      <c r="CS47" s="252">
        <f t="shared" si="64"/>
        <v>0</v>
      </c>
      <c r="CT47" s="252">
        <f t="shared" si="64"/>
        <v>0</v>
      </c>
      <c r="CU47" s="252">
        <f t="shared" si="64"/>
        <v>0</v>
      </c>
      <c r="CV47" s="252">
        <f t="shared" si="64"/>
        <v>0</v>
      </c>
      <c r="CW47" s="252">
        <f t="shared" si="64"/>
        <v>0</v>
      </c>
      <c r="CX47" s="252">
        <f t="shared" si="64"/>
        <v>0</v>
      </c>
      <c r="CY47" s="252">
        <f>IF(CY21=0,0,CY46/CY21)</f>
        <v>0</v>
      </c>
      <c r="CZ47" s="252">
        <f>IF(CZ21=0,0,CZ46/CZ21)</f>
        <v>0</v>
      </c>
      <c r="DA47" s="252">
        <f>IF(DA21=0,0,DA46/DA21)</f>
        <v>0</v>
      </c>
      <c r="DB47" s="252">
        <f>IF(DB21=0,0,DB46/DB21)</f>
        <v>0</v>
      </c>
      <c r="DC47" s="252">
        <f>IF(DC21=0,0,DC46/DC21)</f>
        <v>0</v>
      </c>
    </row>
    <row r="48" spans="2:107" ht="15" customHeight="1" x14ac:dyDescent="0.25">
      <c r="B48" s="515">
        <v>24</v>
      </c>
      <c r="C48" s="248" t="s">
        <v>3900</v>
      </c>
      <c r="D48" s="248"/>
      <c r="E48" s="557" t="s">
        <v>3854</v>
      </c>
      <c r="F48" s="232" t="s">
        <v>4246</v>
      </c>
      <c r="G48" s="243">
        <f>SUM(H48:DC48)</f>
        <v>0</v>
      </c>
      <c r="H48" s="241">
        <f t="shared" ref="H48:AM48" si="65">H20-H41</f>
        <v>0</v>
      </c>
      <c r="I48" s="241">
        <f t="shared" si="65"/>
        <v>0</v>
      </c>
      <c r="J48" s="241">
        <f t="shared" si="65"/>
        <v>0</v>
      </c>
      <c r="K48" s="241">
        <f t="shared" si="65"/>
        <v>0</v>
      </c>
      <c r="L48" s="241">
        <f t="shared" si="65"/>
        <v>0</v>
      </c>
      <c r="M48" s="241">
        <f t="shared" si="65"/>
        <v>0</v>
      </c>
      <c r="N48" s="241">
        <f t="shared" si="65"/>
        <v>0</v>
      </c>
      <c r="O48" s="241">
        <f t="shared" si="65"/>
        <v>0</v>
      </c>
      <c r="P48" s="241">
        <f t="shared" si="65"/>
        <v>0</v>
      </c>
      <c r="Q48" s="241">
        <f t="shared" si="65"/>
        <v>0</v>
      </c>
      <c r="R48" s="241">
        <f t="shared" si="65"/>
        <v>0</v>
      </c>
      <c r="S48" s="241">
        <f t="shared" si="65"/>
        <v>0</v>
      </c>
      <c r="T48" s="241">
        <f t="shared" si="65"/>
        <v>0</v>
      </c>
      <c r="U48" s="241">
        <f t="shared" si="65"/>
        <v>0</v>
      </c>
      <c r="V48" s="241">
        <f t="shared" si="65"/>
        <v>0</v>
      </c>
      <c r="W48" s="241">
        <f t="shared" si="65"/>
        <v>0</v>
      </c>
      <c r="X48" s="241">
        <f t="shared" si="65"/>
        <v>0</v>
      </c>
      <c r="Y48" s="241">
        <f t="shared" si="65"/>
        <v>0</v>
      </c>
      <c r="Z48" s="241">
        <f t="shared" si="65"/>
        <v>0</v>
      </c>
      <c r="AA48" s="241">
        <f t="shared" si="65"/>
        <v>0</v>
      </c>
      <c r="AB48" s="241">
        <f t="shared" si="65"/>
        <v>0</v>
      </c>
      <c r="AC48" s="241">
        <f t="shared" si="65"/>
        <v>0</v>
      </c>
      <c r="AD48" s="241">
        <f t="shared" si="65"/>
        <v>0</v>
      </c>
      <c r="AE48" s="241">
        <f t="shared" si="65"/>
        <v>0</v>
      </c>
      <c r="AF48" s="241">
        <f t="shared" si="65"/>
        <v>0</v>
      </c>
      <c r="AG48" s="241">
        <f t="shared" si="65"/>
        <v>0</v>
      </c>
      <c r="AH48" s="241">
        <f t="shared" si="65"/>
        <v>0</v>
      </c>
      <c r="AI48" s="241">
        <f t="shared" si="65"/>
        <v>0</v>
      </c>
      <c r="AJ48" s="241">
        <f t="shared" si="65"/>
        <v>0</v>
      </c>
      <c r="AK48" s="241">
        <f t="shared" si="65"/>
        <v>0</v>
      </c>
      <c r="AL48" s="241">
        <f t="shared" si="65"/>
        <v>0</v>
      </c>
      <c r="AM48" s="241">
        <f t="shared" si="65"/>
        <v>0</v>
      </c>
      <c r="AN48" s="241">
        <f t="shared" ref="AN48:BS48" si="66">AN20-AN41</f>
        <v>0</v>
      </c>
      <c r="AO48" s="241">
        <f t="shared" si="66"/>
        <v>0</v>
      </c>
      <c r="AP48" s="241">
        <f t="shared" si="66"/>
        <v>0</v>
      </c>
      <c r="AQ48" s="241">
        <f t="shared" si="66"/>
        <v>0</v>
      </c>
      <c r="AR48" s="241">
        <f t="shared" si="66"/>
        <v>0</v>
      </c>
      <c r="AS48" s="241">
        <f t="shared" si="66"/>
        <v>0</v>
      </c>
      <c r="AT48" s="241">
        <f t="shared" si="66"/>
        <v>0</v>
      </c>
      <c r="AU48" s="241">
        <f t="shared" si="66"/>
        <v>0</v>
      </c>
      <c r="AV48" s="241">
        <f t="shared" si="66"/>
        <v>0</v>
      </c>
      <c r="AW48" s="241">
        <f t="shared" si="66"/>
        <v>0</v>
      </c>
      <c r="AX48" s="241">
        <f t="shared" si="66"/>
        <v>0</v>
      </c>
      <c r="AY48" s="241">
        <f t="shared" si="66"/>
        <v>0</v>
      </c>
      <c r="AZ48" s="241">
        <f t="shared" si="66"/>
        <v>0</v>
      </c>
      <c r="BA48" s="241">
        <f t="shared" si="66"/>
        <v>0</v>
      </c>
      <c r="BB48" s="241">
        <f t="shared" si="66"/>
        <v>0</v>
      </c>
      <c r="BC48" s="241">
        <f t="shared" si="66"/>
        <v>0</v>
      </c>
      <c r="BD48" s="241">
        <f t="shared" si="66"/>
        <v>0</v>
      </c>
      <c r="BE48" s="241">
        <f t="shared" si="66"/>
        <v>0</v>
      </c>
      <c r="BF48" s="241">
        <f t="shared" si="66"/>
        <v>0</v>
      </c>
      <c r="BG48" s="241">
        <f t="shared" si="66"/>
        <v>0</v>
      </c>
      <c r="BH48" s="241">
        <f t="shared" si="66"/>
        <v>0</v>
      </c>
      <c r="BI48" s="241">
        <f t="shared" si="66"/>
        <v>0</v>
      </c>
      <c r="BJ48" s="241">
        <f t="shared" si="66"/>
        <v>0</v>
      </c>
      <c r="BK48" s="241">
        <f t="shared" si="66"/>
        <v>0</v>
      </c>
      <c r="BL48" s="241">
        <f t="shared" si="66"/>
        <v>0</v>
      </c>
      <c r="BM48" s="241">
        <f t="shared" si="66"/>
        <v>0</v>
      </c>
      <c r="BN48" s="241">
        <f t="shared" si="66"/>
        <v>0</v>
      </c>
      <c r="BO48" s="241">
        <f t="shared" si="66"/>
        <v>0</v>
      </c>
      <c r="BP48" s="241">
        <f t="shared" si="66"/>
        <v>0</v>
      </c>
      <c r="BQ48" s="241">
        <f t="shared" si="66"/>
        <v>0</v>
      </c>
      <c r="BR48" s="241">
        <f t="shared" si="66"/>
        <v>0</v>
      </c>
      <c r="BS48" s="241">
        <f t="shared" si="66"/>
        <v>0</v>
      </c>
      <c r="BT48" s="241">
        <f t="shared" ref="BT48:DC48" si="67">BT20-BT41</f>
        <v>0</v>
      </c>
      <c r="BU48" s="241">
        <f t="shared" si="67"/>
        <v>0</v>
      </c>
      <c r="BV48" s="241">
        <f t="shared" si="67"/>
        <v>0</v>
      </c>
      <c r="BW48" s="241">
        <f t="shared" si="67"/>
        <v>0</v>
      </c>
      <c r="BX48" s="241">
        <f t="shared" si="67"/>
        <v>0</v>
      </c>
      <c r="BY48" s="241">
        <f t="shared" si="67"/>
        <v>0</v>
      </c>
      <c r="BZ48" s="241">
        <f t="shared" si="67"/>
        <v>0</v>
      </c>
      <c r="CA48" s="241">
        <f t="shared" si="67"/>
        <v>0</v>
      </c>
      <c r="CB48" s="241">
        <f t="shared" si="67"/>
        <v>0</v>
      </c>
      <c r="CC48" s="241">
        <f t="shared" si="67"/>
        <v>0</v>
      </c>
      <c r="CD48" s="241">
        <f t="shared" si="67"/>
        <v>0</v>
      </c>
      <c r="CE48" s="241">
        <f t="shared" si="67"/>
        <v>0</v>
      </c>
      <c r="CF48" s="241">
        <f t="shared" si="67"/>
        <v>0</v>
      </c>
      <c r="CG48" s="241">
        <f t="shared" si="67"/>
        <v>0</v>
      </c>
      <c r="CH48" s="241">
        <f t="shared" si="67"/>
        <v>0</v>
      </c>
      <c r="CI48" s="241">
        <f t="shared" si="67"/>
        <v>0</v>
      </c>
      <c r="CJ48" s="241">
        <f t="shared" si="67"/>
        <v>0</v>
      </c>
      <c r="CK48" s="241">
        <f t="shared" si="67"/>
        <v>0</v>
      </c>
      <c r="CL48" s="241">
        <f t="shared" si="67"/>
        <v>0</v>
      </c>
      <c r="CM48" s="241">
        <f t="shared" si="67"/>
        <v>0</v>
      </c>
      <c r="CN48" s="241">
        <f t="shared" si="67"/>
        <v>0</v>
      </c>
      <c r="CO48" s="241">
        <f t="shared" si="67"/>
        <v>0</v>
      </c>
      <c r="CP48" s="241">
        <f t="shared" si="67"/>
        <v>0</v>
      </c>
      <c r="CQ48" s="241">
        <f t="shared" si="67"/>
        <v>0</v>
      </c>
      <c r="CR48" s="241">
        <f t="shared" si="67"/>
        <v>0</v>
      </c>
      <c r="CS48" s="241">
        <f t="shared" si="67"/>
        <v>0</v>
      </c>
      <c r="CT48" s="241">
        <f t="shared" si="67"/>
        <v>0</v>
      </c>
      <c r="CU48" s="241">
        <f t="shared" si="67"/>
        <v>0</v>
      </c>
      <c r="CV48" s="241">
        <f t="shared" si="67"/>
        <v>0</v>
      </c>
      <c r="CW48" s="241">
        <f t="shared" si="67"/>
        <v>0</v>
      </c>
      <c r="CX48" s="241">
        <f t="shared" si="67"/>
        <v>0</v>
      </c>
      <c r="CY48" s="241">
        <f t="shared" si="67"/>
        <v>0</v>
      </c>
      <c r="CZ48" s="241">
        <f t="shared" si="67"/>
        <v>0</v>
      </c>
      <c r="DA48" s="241">
        <f t="shared" si="67"/>
        <v>0</v>
      </c>
      <c r="DB48" s="241">
        <f t="shared" si="67"/>
        <v>0</v>
      </c>
      <c r="DC48" s="241">
        <f t="shared" si="67"/>
        <v>0</v>
      </c>
    </row>
    <row r="49" spans="2:107" ht="15" customHeight="1" x14ac:dyDescent="0.25">
      <c r="B49" s="515">
        <v>25</v>
      </c>
      <c r="C49" s="249" t="s">
        <v>4247</v>
      </c>
      <c r="D49" s="250">
        <f>'Escolha tarifa'!E17</f>
        <v>0</v>
      </c>
      <c r="E49" s="558" t="s">
        <v>3912</v>
      </c>
      <c r="F49" s="232" t="s">
        <v>4248</v>
      </c>
      <c r="G49" s="251">
        <f t="shared" ref="G49:AL49" si="68">IF(G20=0,0,G48/G20)</f>
        <v>0</v>
      </c>
      <c r="H49" s="252">
        <f t="shared" si="68"/>
        <v>0</v>
      </c>
      <c r="I49" s="252">
        <f t="shared" si="68"/>
        <v>0</v>
      </c>
      <c r="J49" s="252">
        <f t="shared" si="68"/>
        <v>0</v>
      </c>
      <c r="K49" s="252">
        <f t="shared" si="68"/>
        <v>0</v>
      </c>
      <c r="L49" s="252">
        <f t="shared" si="68"/>
        <v>0</v>
      </c>
      <c r="M49" s="252">
        <f t="shared" si="68"/>
        <v>0</v>
      </c>
      <c r="N49" s="252">
        <f t="shared" si="68"/>
        <v>0</v>
      </c>
      <c r="O49" s="252">
        <f t="shared" si="68"/>
        <v>0</v>
      </c>
      <c r="P49" s="252">
        <f t="shared" si="68"/>
        <v>0</v>
      </c>
      <c r="Q49" s="252">
        <f t="shared" si="68"/>
        <v>0</v>
      </c>
      <c r="R49" s="252">
        <f t="shared" si="68"/>
        <v>0</v>
      </c>
      <c r="S49" s="252">
        <f t="shared" si="68"/>
        <v>0</v>
      </c>
      <c r="T49" s="252">
        <f t="shared" si="68"/>
        <v>0</v>
      </c>
      <c r="U49" s="252">
        <f t="shared" si="68"/>
        <v>0</v>
      </c>
      <c r="V49" s="252">
        <f t="shared" si="68"/>
        <v>0</v>
      </c>
      <c r="W49" s="252">
        <f t="shared" si="68"/>
        <v>0</v>
      </c>
      <c r="X49" s="252">
        <f t="shared" si="68"/>
        <v>0</v>
      </c>
      <c r="Y49" s="252">
        <f t="shared" si="68"/>
        <v>0</v>
      </c>
      <c r="Z49" s="252">
        <f t="shared" si="68"/>
        <v>0</v>
      </c>
      <c r="AA49" s="252">
        <f t="shared" si="68"/>
        <v>0</v>
      </c>
      <c r="AB49" s="252">
        <f t="shared" si="68"/>
        <v>0</v>
      </c>
      <c r="AC49" s="252">
        <f t="shared" si="68"/>
        <v>0</v>
      </c>
      <c r="AD49" s="252">
        <f t="shared" si="68"/>
        <v>0</v>
      </c>
      <c r="AE49" s="252">
        <f t="shared" si="68"/>
        <v>0</v>
      </c>
      <c r="AF49" s="252">
        <f t="shared" si="68"/>
        <v>0</v>
      </c>
      <c r="AG49" s="252">
        <f t="shared" si="68"/>
        <v>0</v>
      </c>
      <c r="AH49" s="252">
        <f t="shared" si="68"/>
        <v>0</v>
      </c>
      <c r="AI49" s="252">
        <f t="shared" si="68"/>
        <v>0</v>
      </c>
      <c r="AJ49" s="252">
        <f t="shared" si="68"/>
        <v>0</v>
      </c>
      <c r="AK49" s="252">
        <f t="shared" si="68"/>
        <v>0</v>
      </c>
      <c r="AL49" s="252">
        <f t="shared" si="68"/>
        <v>0</v>
      </c>
      <c r="AM49" s="252">
        <f t="shared" ref="AM49:BR49" si="69">IF(AM20=0,0,AM48/AM20)</f>
        <v>0</v>
      </c>
      <c r="AN49" s="252">
        <f t="shared" si="69"/>
        <v>0</v>
      </c>
      <c r="AO49" s="252">
        <f t="shared" si="69"/>
        <v>0</v>
      </c>
      <c r="AP49" s="252">
        <f t="shared" si="69"/>
        <v>0</v>
      </c>
      <c r="AQ49" s="252">
        <f t="shared" si="69"/>
        <v>0</v>
      </c>
      <c r="AR49" s="252">
        <f t="shared" si="69"/>
        <v>0</v>
      </c>
      <c r="AS49" s="252">
        <f t="shared" si="69"/>
        <v>0</v>
      </c>
      <c r="AT49" s="252">
        <f t="shared" si="69"/>
        <v>0</v>
      </c>
      <c r="AU49" s="252">
        <f t="shared" si="69"/>
        <v>0</v>
      </c>
      <c r="AV49" s="252">
        <f t="shared" si="69"/>
        <v>0</v>
      </c>
      <c r="AW49" s="252">
        <f t="shared" si="69"/>
        <v>0</v>
      </c>
      <c r="AX49" s="252">
        <f t="shared" si="69"/>
        <v>0</v>
      </c>
      <c r="AY49" s="252">
        <f t="shared" si="69"/>
        <v>0</v>
      </c>
      <c r="AZ49" s="252">
        <f t="shared" si="69"/>
        <v>0</v>
      </c>
      <c r="BA49" s="252">
        <f t="shared" si="69"/>
        <v>0</v>
      </c>
      <c r="BB49" s="252">
        <f t="shared" si="69"/>
        <v>0</v>
      </c>
      <c r="BC49" s="252">
        <f t="shared" si="69"/>
        <v>0</v>
      </c>
      <c r="BD49" s="252">
        <f t="shared" si="69"/>
        <v>0</v>
      </c>
      <c r="BE49" s="252">
        <f t="shared" si="69"/>
        <v>0</v>
      </c>
      <c r="BF49" s="252">
        <f t="shared" si="69"/>
        <v>0</v>
      </c>
      <c r="BG49" s="252">
        <f t="shared" si="69"/>
        <v>0</v>
      </c>
      <c r="BH49" s="252">
        <f t="shared" si="69"/>
        <v>0</v>
      </c>
      <c r="BI49" s="252">
        <f t="shared" si="69"/>
        <v>0</v>
      </c>
      <c r="BJ49" s="252">
        <f t="shared" si="69"/>
        <v>0</v>
      </c>
      <c r="BK49" s="252">
        <f t="shared" si="69"/>
        <v>0</v>
      </c>
      <c r="BL49" s="252">
        <f t="shared" si="69"/>
        <v>0</v>
      </c>
      <c r="BM49" s="252">
        <f t="shared" si="69"/>
        <v>0</v>
      </c>
      <c r="BN49" s="252">
        <f t="shared" si="69"/>
        <v>0</v>
      </c>
      <c r="BO49" s="252">
        <f t="shared" si="69"/>
        <v>0</v>
      </c>
      <c r="BP49" s="252">
        <f t="shared" si="69"/>
        <v>0</v>
      </c>
      <c r="BQ49" s="252">
        <f t="shared" si="69"/>
        <v>0</v>
      </c>
      <c r="BR49" s="252">
        <f t="shared" si="69"/>
        <v>0</v>
      </c>
      <c r="BS49" s="252">
        <f t="shared" ref="BS49:CX49" si="70">IF(BS20=0,0,BS48/BS20)</f>
        <v>0</v>
      </c>
      <c r="BT49" s="252">
        <f t="shared" si="70"/>
        <v>0</v>
      </c>
      <c r="BU49" s="252">
        <f t="shared" si="70"/>
        <v>0</v>
      </c>
      <c r="BV49" s="252">
        <f t="shared" si="70"/>
        <v>0</v>
      </c>
      <c r="BW49" s="252">
        <f t="shared" si="70"/>
        <v>0</v>
      </c>
      <c r="BX49" s="252">
        <f t="shared" si="70"/>
        <v>0</v>
      </c>
      <c r="BY49" s="252">
        <f t="shared" si="70"/>
        <v>0</v>
      </c>
      <c r="BZ49" s="252">
        <f t="shared" si="70"/>
        <v>0</v>
      </c>
      <c r="CA49" s="252">
        <f t="shared" si="70"/>
        <v>0</v>
      </c>
      <c r="CB49" s="252">
        <f t="shared" si="70"/>
        <v>0</v>
      </c>
      <c r="CC49" s="252">
        <f t="shared" si="70"/>
        <v>0</v>
      </c>
      <c r="CD49" s="252">
        <f t="shared" si="70"/>
        <v>0</v>
      </c>
      <c r="CE49" s="252">
        <f t="shared" si="70"/>
        <v>0</v>
      </c>
      <c r="CF49" s="252">
        <f t="shared" si="70"/>
        <v>0</v>
      </c>
      <c r="CG49" s="252">
        <f t="shared" si="70"/>
        <v>0</v>
      </c>
      <c r="CH49" s="252">
        <f t="shared" si="70"/>
        <v>0</v>
      </c>
      <c r="CI49" s="252">
        <f t="shared" si="70"/>
        <v>0</v>
      </c>
      <c r="CJ49" s="252">
        <f t="shared" si="70"/>
        <v>0</v>
      </c>
      <c r="CK49" s="252">
        <f t="shared" si="70"/>
        <v>0</v>
      </c>
      <c r="CL49" s="252">
        <f t="shared" si="70"/>
        <v>0</v>
      </c>
      <c r="CM49" s="252">
        <f t="shared" si="70"/>
        <v>0</v>
      </c>
      <c r="CN49" s="252">
        <f t="shared" si="70"/>
        <v>0</v>
      </c>
      <c r="CO49" s="252">
        <f t="shared" si="70"/>
        <v>0</v>
      </c>
      <c r="CP49" s="252">
        <f t="shared" si="70"/>
        <v>0</v>
      </c>
      <c r="CQ49" s="252">
        <f t="shared" si="70"/>
        <v>0</v>
      </c>
      <c r="CR49" s="252">
        <f t="shared" si="70"/>
        <v>0</v>
      </c>
      <c r="CS49" s="252">
        <f t="shared" si="70"/>
        <v>0</v>
      </c>
      <c r="CT49" s="252">
        <f t="shared" si="70"/>
        <v>0</v>
      </c>
      <c r="CU49" s="252">
        <f t="shared" si="70"/>
        <v>0</v>
      </c>
      <c r="CV49" s="252">
        <f t="shared" si="70"/>
        <v>0</v>
      </c>
      <c r="CW49" s="252">
        <f t="shared" si="70"/>
        <v>0</v>
      </c>
      <c r="CX49" s="252">
        <f t="shared" si="70"/>
        <v>0</v>
      </c>
      <c r="CY49" s="252">
        <f>IF(CY20=0,0,CY48/CY20)</f>
        <v>0</v>
      </c>
      <c r="CZ49" s="252">
        <f>IF(CZ20=0,0,CZ48/CZ20)</f>
        <v>0</v>
      </c>
      <c r="DA49" s="252">
        <f>IF(DA20=0,0,DA48/DA20)</f>
        <v>0</v>
      </c>
      <c r="DB49" s="252">
        <f>IF(DB20=0,0,DB48/DB20)</f>
        <v>0</v>
      </c>
      <c r="DC49" s="252">
        <f>IF(DC20=0,0,DC48/DC20)</f>
        <v>0</v>
      </c>
    </row>
    <row r="50" spans="2:107" ht="15" customHeight="1" x14ac:dyDescent="0.25">
      <c r="B50" s="253"/>
      <c r="C50" s="254" t="s">
        <v>4715</v>
      </c>
      <c r="D50" s="254"/>
      <c r="E50" s="542" t="s">
        <v>3911</v>
      </c>
      <c r="F50" s="255" t="s">
        <v>4716</v>
      </c>
      <c r="G50" s="256">
        <f>SUM(H50:DC50)</f>
        <v>0</v>
      </c>
      <c r="H50" s="257">
        <f t="shared" ref="H50:Z50" si="71">H46*$D$47+H48*$D$49</f>
        <v>0</v>
      </c>
      <c r="I50" s="257">
        <f t="shared" si="71"/>
        <v>0</v>
      </c>
      <c r="J50" s="257">
        <f t="shared" si="71"/>
        <v>0</v>
      </c>
      <c r="K50" s="257">
        <f t="shared" si="71"/>
        <v>0</v>
      </c>
      <c r="L50" s="257">
        <f t="shared" si="71"/>
        <v>0</v>
      </c>
      <c r="M50" s="257">
        <f t="shared" si="71"/>
        <v>0</v>
      </c>
      <c r="N50" s="257">
        <f t="shared" si="71"/>
        <v>0</v>
      </c>
      <c r="O50" s="257">
        <f t="shared" si="71"/>
        <v>0</v>
      </c>
      <c r="P50" s="257">
        <f t="shared" si="71"/>
        <v>0</v>
      </c>
      <c r="Q50" s="257">
        <f t="shared" si="71"/>
        <v>0</v>
      </c>
      <c r="R50" s="257">
        <f t="shared" si="71"/>
        <v>0</v>
      </c>
      <c r="S50" s="257">
        <f t="shared" si="71"/>
        <v>0</v>
      </c>
      <c r="T50" s="257">
        <f t="shared" si="71"/>
        <v>0</v>
      </c>
      <c r="U50" s="257">
        <f t="shared" si="71"/>
        <v>0</v>
      </c>
      <c r="V50" s="257">
        <f t="shared" si="71"/>
        <v>0</v>
      </c>
      <c r="W50" s="257">
        <f t="shared" si="71"/>
        <v>0</v>
      </c>
      <c r="X50" s="257">
        <f t="shared" si="71"/>
        <v>0</v>
      </c>
      <c r="Y50" s="257">
        <f t="shared" si="71"/>
        <v>0</v>
      </c>
      <c r="Z50" s="257">
        <f t="shared" si="71"/>
        <v>0</v>
      </c>
      <c r="AA50" s="257">
        <f t="shared" ref="AA50:CL50" si="72">AA46*$D$47+AA48*$D$49</f>
        <v>0</v>
      </c>
      <c r="AB50" s="257">
        <f t="shared" si="72"/>
        <v>0</v>
      </c>
      <c r="AC50" s="257">
        <f t="shared" si="72"/>
        <v>0</v>
      </c>
      <c r="AD50" s="257">
        <f t="shared" si="72"/>
        <v>0</v>
      </c>
      <c r="AE50" s="257">
        <f t="shared" si="72"/>
        <v>0</v>
      </c>
      <c r="AF50" s="257">
        <f t="shared" si="72"/>
        <v>0</v>
      </c>
      <c r="AG50" s="257">
        <f t="shared" si="72"/>
        <v>0</v>
      </c>
      <c r="AH50" s="257">
        <f t="shared" si="72"/>
        <v>0</v>
      </c>
      <c r="AI50" s="257">
        <f t="shared" si="72"/>
        <v>0</v>
      </c>
      <c r="AJ50" s="257">
        <f t="shared" si="72"/>
        <v>0</v>
      </c>
      <c r="AK50" s="257">
        <f t="shared" si="72"/>
        <v>0</v>
      </c>
      <c r="AL50" s="257">
        <f t="shared" si="72"/>
        <v>0</v>
      </c>
      <c r="AM50" s="257">
        <f t="shared" si="72"/>
        <v>0</v>
      </c>
      <c r="AN50" s="257">
        <f t="shared" si="72"/>
        <v>0</v>
      </c>
      <c r="AO50" s="257">
        <f t="shared" si="72"/>
        <v>0</v>
      </c>
      <c r="AP50" s="257">
        <f t="shared" si="72"/>
        <v>0</v>
      </c>
      <c r="AQ50" s="257">
        <f t="shared" si="72"/>
        <v>0</v>
      </c>
      <c r="AR50" s="257">
        <f t="shared" si="72"/>
        <v>0</v>
      </c>
      <c r="AS50" s="257">
        <f t="shared" si="72"/>
        <v>0</v>
      </c>
      <c r="AT50" s="257">
        <f t="shared" si="72"/>
        <v>0</v>
      </c>
      <c r="AU50" s="257">
        <f t="shared" si="72"/>
        <v>0</v>
      </c>
      <c r="AV50" s="257">
        <f t="shared" si="72"/>
        <v>0</v>
      </c>
      <c r="AW50" s="257">
        <f t="shared" si="72"/>
        <v>0</v>
      </c>
      <c r="AX50" s="257">
        <f t="shared" si="72"/>
        <v>0</v>
      </c>
      <c r="AY50" s="257">
        <f t="shared" si="72"/>
        <v>0</v>
      </c>
      <c r="AZ50" s="257">
        <f t="shared" si="72"/>
        <v>0</v>
      </c>
      <c r="BA50" s="257">
        <f t="shared" si="72"/>
        <v>0</v>
      </c>
      <c r="BB50" s="257">
        <f t="shared" si="72"/>
        <v>0</v>
      </c>
      <c r="BC50" s="257">
        <f t="shared" si="72"/>
        <v>0</v>
      </c>
      <c r="BD50" s="257">
        <f t="shared" si="72"/>
        <v>0</v>
      </c>
      <c r="BE50" s="257">
        <f t="shared" si="72"/>
        <v>0</v>
      </c>
      <c r="BF50" s="257">
        <f t="shared" si="72"/>
        <v>0</v>
      </c>
      <c r="BG50" s="257">
        <f t="shared" si="72"/>
        <v>0</v>
      </c>
      <c r="BH50" s="257">
        <f t="shared" si="72"/>
        <v>0</v>
      </c>
      <c r="BI50" s="257">
        <f t="shared" si="72"/>
        <v>0</v>
      </c>
      <c r="BJ50" s="257">
        <f t="shared" si="72"/>
        <v>0</v>
      </c>
      <c r="BK50" s="257">
        <f t="shared" si="72"/>
        <v>0</v>
      </c>
      <c r="BL50" s="257">
        <f t="shared" si="72"/>
        <v>0</v>
      </c>
      <c r="BM50" s="257">
        <f t="shared" si="72"/>
        <v>0</v>
      </c>
      <c r="BN50" s="257">
        <f t="shared" si="72"/>
        <v>0</v>
      </c>
      <c r="BO50" s="257">
        <f t="shared" si="72"/>
        <v>0</v>
      </c>
      <c r="BP50" s="257">
        <f t="shared" si="72"/>
        <v>0</v>
      </c>
      <c r="BQ50" s="257">
        <f t="shared" si="72"/>
        <v>0</v>
      </c>
      <c r="BR50" s="257">
        <f t="shared" si="72"/>
        <v>0</v>
      </c>
      <c r="BS50" s="257">
        <f t="shared" si="72"/>
        <v>0</v>
      </c>
      <c r="BT50" s="257">
        <f t="shared" si="72"/>
        <v>0</v>
      </c>
      <c r="BU50" s="257">
        <f t="shared" si="72"/>
        <v>0</v>
      </c>
      <c r="BV50" s="257">
        <f t="shared" si="72"/>
        <v>0</v>
      </c>
      <c r="BW50" s="257">
        <f t="shared" si="72"/>
        <v>0</v>
      </c>
      <c r="BX50" s="257">
        <f t="shared" si="72"/>
        <v>0</v>
      </c>
      <c r="BY50" s="257">
        <f t="shared" si="72"/>
        <v>0</v>
      </c>
      <c r="BZ50" s="257">
        <f t="shared" si="72"/>
        <v>0</v>
      </c>
      <c r="CA50" s="257">
        <f t="shared" si="72"/>
        <v>0</v>
      </c>
      <c r="CB50" s="257">
        <f t="shared" si="72"/>
        <v>0</v>
      </c>
      <c r="CC50" s="257">
        <f t="shared" si="72"/>
        <v>0</v>
      </c>
      <c r="CD50" s="257">
        <f t="shared" si="72"/>
        <v>0</v>
      </c>
      <c r="CE50" s="257">
        <f t="shared" si="72"/>
        <v>0</v>
      </c>
      <c r="CF50" s="257">
        <f t="shared" si="72"/>
        <v>0</v>
      </c>
      <c r="CG50" s="257">
        <f t="shared" si="72"/>
        <v>0</v>
      </c>
      <c r="CH50" s="257">
        <f t="shared" si="72"/>
        <v>0</v>
      </c>
      <c r="CI50" s="257">
        <f t="shared" si="72"/>
        <v>0</v>
      </c>
      <c r="CJ50" s="257">
        <f t="shared" si="72"/>
        <v>0</v>
      </c>
      <c r="CK50" s="257">
        <f t="shared" si="72"/>
        <v>0</v>
      </c>
      <c r="CL50" s="257">
        <f t="shared" si="72"/>
        <v>0</v>
      </c>
      <c r="CM50" s="257">
        <f t="shared" ref="CM50:DC50" si="73">CM46*$D$47+CM48*$D$49</f>
        <v>0</v>
      </c>
      <c r="CN50" s="257">
        <f t="shared" si="73"/>
        <v>0</v>
      </c>
      <c r="CO50" s="257">
        <f t="shared" si="73"/>
        <v>0</v>
      </c>
      <c r="CP50" s="257">
        <f t="shared" si="73"/>
        <v>0</v>
      </c>
      <c r="CQ50" s="257">
        <f t="shared" si="73"/>
        <v>0</v>
      </c>
      <c r="CR50" s="257">
        <f t="shared" si="73"/>
        <v>0</v>
      </c>
      <c r="CS50" s="257">
        <f t="shared" si="73"/>
        <v>0</v>
      </c>
      <c r="CT50" s="257">
        <f t="shared" si="73"/>
        <v>0</v>
      </c>
      <c r="CU50" s="257">
        <f t="shared" si="73"/>
        <v>0</v>
      </c>
      <c r="CV50" s="257">
        <f t="shared" si="73"/>
        <v>0</v>
      </c>
      <c r="CW50" s="257">
        <f t="shared" si="73"/>
        <v>0</v>
      </c>
      <c r="CX50" s="257">
        <f t="shared" si="73"/>
        <v>0</v>
      </c>
      <c r="CY50" s="257">
        <f t="shared" si="73"/>
        <v>0</v>
      </c>
      <c r="CZ50" s="257">
        <f t="shared" si="73"/>
        <v>0</v>
      </c>
      <c r="DA50" s="257">
        <f t="shared" si="73"/>
        <v>0</v>
      </c>
      <c r="DB50" s="257">
        <f t="shared" si="73"/>
        <v>0</v>
      </c>
      <c r="DC50" s="257">
        <f t="shared" si="73"/>
        <v>0</v>
      </c>
    </row>
    <row r="51" spans="2:107" ht="15" customHeight="1" x14ac:dyDescent="0.25">
      <c r="B51" s="253"/>
      <c r="C51" s="254" t="s">
        <v>4717</v>
      </c>
      <c r="D51" s="254"/>
      <c r="E51" s="542" t="s">
        <v>3911</v>
      </c>
      <c r="F51" s="255" t="s">
        <v>4718</v>
      </c>
      <c r="G51" s="256">
        <f>G48*D49</f>
        <v>0</v>
      </c>
      <c r="H51" s="257">
        <f>H48*$D$49</f>
        <v>0</v>
      </c>
      <c r="I51" s="257">
        <f t="shared" ref="I51:Z51" si="74">I48*$D$49</f>
        <v>0</v>
      </c>
      <c r="J51" s="257">
        <f t="shared" si="74"/>
        <v>0</v>
      </c>
      <c r="K51" s="257">
        <f t="shared" si="74"/>
        <v>0</v>
      </c>
      <c r="L51" s="257">
        <f t="shared" si="74"/>
        <v>0</v>
      </c>
      <c r="M51" s="257">
        <f t="shared" si="74"/>
        <v>0</v>
      </c>
      <c r="N51" s="257">
        <f t="shared" si="74"/>
        <v>0</v>
      </c>
      <c r="O51" s="257">
        <f t="shared" si="74"/>
        <v>0</v>
      </c>
      <c r="P51" s="257">
        <f t="shared" si="74"/>
        <v>0</v>
      </c>
      <c r="Q51" s="257">
        <f t="shared" si="74"/>
        <v>0</v>
      </c>
      <c r="R51" s="257">
        <f t="shared" si="74"/>
        <v>0</v>
      </c>
      <c r="S51" s="257">
        <f t="shared" si="74"/>
        <v>0</v>
      </c>
      <c r="T51" s="257">
        <f t="shared" si="74"/>
        <v>0</v>
      </c>
      <c r="U51" s="257">
        <f t="shared" si="74"/>
        <v>0</v>
      </c>
      <c r="V51" s="257">
        <f t="shared" si="74"/>
        <v>0</v>
      </c>
      <c r="W51" s="257">
        <f t="shared" si="74"/>
        <v>0</v>
      </c>
      <c r="X51" s="257">
        <f t="shared" si="74"/>
        <v>0</v>
      </c>
      <c r="Y51" s="257">
        <f t="shared" si="74"/>
        <v>0</v>
      </c>
      <c r="Z51" s="257">
        <f t="shared" si="74"/>
        <v>0</v>
      </c>
      <c r="AA51" s="257">
        <f t="shared" ref="AA51:CL51" si="75">AA48*$D$49</f>
        <v>0</v>
      </c>
      <c r="AB51" s="257">
        <f t="shared" si="75"/>
        <v>0</v>
      </c>
      <c r="AC51" s="257">
        <f t="shared" si="75"/>
        <v>0</v>
      </c>
      <c r="AD51" s="257">
        <f t="shared" si="75"/>
        <v>0</v>
      </c>
      <c r="AE51" s="257">
        <f t="shared" si="75"/>
        <v>0</v>
      </c>
      <c r="AF51" s="257">
        <f t="shared" si="75"/>
        <v>0</v>
      </c>
      <c r="AG51" s="257">
        <f t="shared" si="75"/>
        <v>0</v>
      </c>
      <c r="AH51" s="257">
        <f t="shared" si="75"/>
        <v>0</v>
      </c>
      <c r="AI51" s="257">
        <f t="shared" si="75"/>
        <v>0</v>
      </c>
      <c r="AJ51" s="257">
        <f t="shared" si="75"/>
        <v>0</v>
      </c>
      <c r="AK51" s="257">
        <f t="shared" si="75"/>
        <v>0</v>
      </c>
      <c r="AL51" s="257">
        <f t="shared" si="75"/>
        <v>0</v>
      </c>
      <c r="AM51" s="257">
        <f t="shared" si="75"/>
        <v>0</v>
      </c>
      <c r="AN51" s="257">
        <f t="shared" si="75"/>
        <v>0</v>
      </c>
      <c r="AO51" s="257">
        <f t="shared" si="75"/>
        <v>0</v>
      </c>
      <c r="AP51" s="257">
        <f t="shared" si="75"/>
        <v>0</v>
      </c>
      <c r="AQ51" s="257">
        <f t="shared" si="75"/>
        <v>0</v>
      </c>
      <c r="AR51" s="257">
        <f t="shared" si="75"/>
        <v>0</v>
      </c>
      <c r="AS51" s="257">
        <f t="shared" si="75"/>
        <v>0</v>
      </c>
      <c r="AT51" s="257">
        <f t="shared" si="75"/>
        <v>0</v>
      </c>
      <c r="AU51" s="257">
        <f t="shared" si="75"/>
        <v>0</v>
      </c>
      <c r="AV51" s="257">
        <f t="shared" si="75"/>
        <v>0</v>
      </c>
      <c r="AW51" s="257">
        <f t="shared" si="75"/>
        <v>0</v>
      </c>
      <c r="AX51" s="257">
        <f t="shared" si="75"/>
        <v>0</v>
      </c>
      <c r="AY51" s="257">
        <f t="shared" si="75"/>
        <v>0</v>
      </c>
      <c r="AZ51" s="257">
        <f t="shared" si="75"/>
        <v>0</v>
      </c>
      <c r="BA51" s="257">
        <f t="shared" si="75"/>
        <v>0</v>
      </c>
      <c r="BB51" s="257">
        <f t="shared" si="75"/>
        <v>0</v>
      </c>
      <c r="BC51" s="257">
        <f t="shared" si="75"/>
        <v>0</v>
      </c>
      <c r="BD51" s="257">
        <f t="shared" si="75"/>
        <v>0</v>
      </c>
      <c r="BE51" s="257">
        <f t="shared" si="75"/>
        <v>0</v>
      </c>
      <c r="BF51" s="257">
        <f t="shared" si="75"/>
        <v>0</v>
      </c>
      <c r="BG51" s="257">
        <f t="shared" si="75"/>
        <v>0</v>
      </c>
      <c r="BH51" s="257">
        <f t="shared" si="75"/>
        <v>0</v>
      </c>
      <c r="BI51" s="257">
        <f t="shared" si="75"/>
        <v>0</v>
      </c>
      <c r="BJ51" s="257">
        <f t="shared" si="75"/>
        <v>0</v>
      </c>
      <c r="BK51" s="257">
        <f t="shared" si="75"/>
        <v>0</v>
      </c>
      <c r="BL51" s="257">
        <f t="shared" si="75"/>
        <v>0</v>
      </c>
      <c r="BM51" s="257">
        <f t="shared" si="75"/>
        <v>0</v>
      </c>
      <c r="BN51" s="257">
        <f t="shared" si="75"/>
        <v>0</v>
      </c>
      <c r="BO51" s="257">
        <f t="shared" si="75"/>
        <v>0</v>
      </c>
      <c r="BP51" s="257">
        <f t="shared" si="75"/>
        <v>0</v>
      </c>
      <c r="BQ51" s="257">
        <f t="shared" si="75"/>
        <v>0</v>
      </c>
      <c r="BR51" s="257">
        <f t="shared" si="75"/>
        <v>0</v>
      </c>
      <c r="BS51" s="257">
        <f t="shared" si="75"/>
        <v>0</v>
      </c>
      <c r="BT51" s="257">
        <f t="shared" si="75"/>
        <v>0</v>
      </c>
      <c r="BU51" s="257">
        <f t="shared" si="75"/>
        <v>0</v>
      </c>
      <c r="BV51" s="257">
        <f t="shared" si="75"/>
        <v>0</v>
      </c>
      <c r="BW51" s="257">
        <f t="shared" si="75"/>
        <v>0</v>
      </c>
      <c r="BX51" s="257">
        <f t="shared" si="75"/>
        <v>0</v>
      </c>
      <c r="BY51" s="257">
        <f t="shared" si="75"/>
        <v>0</v>
      </c>
      <c r="BZ51" s="257">
        <f t="shared" si="75"/>
        <v>0</v>
      </c>
      <c r="CA51" s="257">
        <f t="shared" si="75"/>
        <v>0</v>
      </c>
      <c r="CB51" s="257">
        <f t="shared" si="75"/>
        <v>0</v>
      </c>
      <c r="CC51" s="257">
        <f t="shared" si="75"/>
        <v>0</v>
      </c>
      <c r="CD51" s="257">
        <f t="shared" si="75"/>
        <v>0</v>
      </c>
      <c r="CE51" s="257">
        <f t="shared" si="75"/>
        <v>0</v>
      </c>
      <c r="CF51" s="257">
        <f t="shared" si="75"/>
        <v>0</v>
      </c>
      <c r="CG51" s="257">
        <f t="shared" si="75"/>
        <v>0</v>
      </c>
      <c r="CH51" s="257">
        <f t="shared" si="75"/>
        <v>0</v>
      </c>
      <c r="CI51" s="257">
        <f t="shared" si="75"/>
        <v>0</v>
      </c>
      <c r="CJ51" s="257">
        <f t="shared" si="75"/>
        <v>0</v>
      </c>
      <c r="CK51" s="257">
        <f t="shared" si="75"/>
        <v>0</v>
      </c>
      <c r="CL51" s="257">
        <f t="shared" si="75"/>
        <v>0</v>
      </c>
      <c r="CM51" s="257">
        <f t="shared" ref="CM51:DC51" si="76">CM48*$D$49</f>
        <v>0</v>
      </c>
      <c r="CN51" s="257">
        <f t="shared" si="76"/>
        <v>0</v>
      </c>
      <c r="CO51" s="257">
        <f t="shared" si="76"/>
        <v>0</v>
      </c>
      <c r="CP51" s="257">
        <f t="shared" si="76"/>
        <v>0</v>
      </c>
      <c r="CQ51" s="257">
        <f t="shared" si="76"/>
        <v>0</v>
      </c>
      <c r="CR51" s="257">
        <f t="shared" si="76"/>
        <v>0</v>
      </c>
      <c r="CS51" s="257">
        <f t="shared" si="76"/>
        <v>0</v>
      </c>
      <c r="CT51" s="257">
        <f t="shared" si="76"/>
        <v>0</v>
      </c>
      <c r="CU51" s="257">
        <f t="shared" si="76"/>
        <v>0</v>
      </c>
      <c r="CV51" s="257">
        <f t="shared" si="76"/>
        <v>0</v>
      </c>
      <c r="CW51" s="257">
        <f t="shared" si="76"/>
        <v>0</v>
      </c>
      <c r="CX51" s="257">
        <f t="shared" si="76"/>
        <v>0</v>
      </c>
      <c r="CY51" s="257">
        <f t="shared" si="76"/>
        <v>0</v>
      </c>
      <c r="CZ51" s="257">
        <f t="shared" si="76"/>
        <v>0</v>
      </c>
      <c r="DA51" s="257">
        <f t="shared" si="76"/>
        <v>0</v>
      </c>
      <c r="DB51" s="257">
        <f t="shared" si="76"/>
        <v>0</v>
      </c>
      <c r="DC51" s="257">
        <f t="shared" si="76"/>
        <v>0</v>
      </c>
    </row>
    <row r="52" spans="2:107" ht="15" customHeight="1" x14ac:dyDescent="0.25">
      <c r="B52" s="253"/>
      <c r="C52" s="254" t="s">
        <v>4719</v>
      </c>
      <c r="D52" s="254"/>
      <c r="E52" s="542" t="s">
        <v>3911</v>
      </c>
      <c r="F52" s="255" t="s">
        <v>4720</v>
      </c>
      <c r="G52" s="256">
        <f>G46*D47</f>
        <v>0</v>
      </c>
      <c r="H52" s="257">
        <f>H46*$D$47</f>
        <v>0</v>
      </c>
      <c r="I52" s="257">
        <f t="shared" ref="I52:Z52" si="77">I46*$D$47</f>
        <v>0</v>
      </c>
      <c r="J52" s="257">
        <f t="shared" si="77"/>
        <v>0</v>
      </c>
      <c r="K52" s="257">
        <f t="shared" si="77"/>
        <v>0</v>
      </c>
      <c r="L52" s="257">
        <f t="shared" si="77"/>
        <v>0</v>
      </c>
      <c r="M52" s="257">
        <f t="shared" si="77"/>
        <v>0</v>
      </c>
      <c r="N52" s="257">
        <f t="shared" si="77"/>
        <v>0</v>
      </c>
      <c r="O52" s="257">
        <f t="shared" si="77"/>
        <v>0</v>
      </c>
      <c r="P52" s="257">
        <f t="shared" si="77"/>
        <v>0</v>
      </c>
      <c r="Q52" s="257">
        <f t="shared" si="77"/>
        <v>0</v>
      </c>
      <c r="R52" s="257">
        <f t="shared" si="77"/>
        <v>0</v>
      </c>
      <c r="S52" s="257">
        <f t="shared" si="77"/>
        <v>0</v>
      </c>
      <c r="T52" s="257">
        <f t="shared" si="77"/>
        <v>0</v>
      </c>
      <c r="U52" s="257">
        <f t="shared" si="77"/>
        <v>0</v>
      </c>
      <c r="V52" s="257">
        <f t="shared" si="77"/>
        <v>0</v>
      </c>
      <c r="W52" s="257">
        <f t="shared" si="77"/>
        <v>0</v>
      </c>
      <c r="X52" s="257">
        <f t="shared" si="77"/>
        <v>0</v>
      </c>
      <c r="Y52" s="257">
        <f t="shared" si="77"/>
        <v>0</v>
      </c>
      <c r="Z52" s="257">
        <f t="shared" si="77"/>
        <v>0</v>
      </c>
      <c r="AA52" s="257">
        <f t="shared" ref="AA52:CL52" si="78">AA46*$D$47</f>
        <v>0</v>
      </c>
      <c r="AB52" s="257">
        <f t="shared" si="78"/>
        <v>0</v>
      </c>
      <c r="AC52" s="257">
        <f t="shared" si="78"/>
        <v>0</v>
      </c>
      <c r="AD52" s="257">
        <f t="shared" si="78"/>
        <v>0</v>
      </c>
      <c r="AE52" s="257">
        <f t="shared" si="78"/>
        <v>0</v>
      </c>
      <c r="AF52" s="257">
        <f t="shared" si="78"/>
        <v>0</v>
      </c>
      <c r="AG52" s="257">
        <f t="shared" si="78"/>
        <v>0</v>
      </c>
      <c r="AH52" s="257">
        <f t="shared" si="78"/>
        <v>0</v>
      </c>
      <c r="AI52" s="257">
        <f t="shared" si="78"/>
        <v>0</v>
      </c>
      <c r="AJ52" s="257">
        <f t="shared" si="78"/>
        <v>0</v>
      </c>
      <c r="AK52" s="257">
        <f t="shared" si="78"/>
        <v>0</v>
      </c>
      <c r="AL52" s="257">
        <f t="shared" si="78"/>
        <v>0</v>
      </c>
      <c r="AM52" s="257">
        <f t="shared" si="78"/>
        <v>0</v>
      </c>
      <c r="AN52" s="257">
        <f t="shared" si="78"/>
        <v>0</v>
      </c>
      <c r="AO52" s="257">
        <f t="shared" si="78"/>
        <v>0</v>
      </c>
      <c r="AP52" s="257">
        <f t="shared" si="78"/>
        <v>0</v>
      </c>
      <c r="AQ52" s="257">
        <f t="shared" si="78"/>
        <v>0</v>
      </c>
      <c r="AR52" s="257">
        <f t="shared" si="78"/>
        <v>0</v>
      </c>
      <c r="AS52" s="257">
        <f t="shared" si="78"/>
        <v>0</v>
      </c>
      <c r="AT52" s="257">
        <f t="shared" si="78"/>
        <v>0</v>
      </c>
      <c r="AU52" s="257">
        <f t="shared" si="78"/>
        <v>0</v>
      </c>
      <c r="AV52" s="257">
        <f t="shared" si="78"/>
        <v>0</v>
      </c>
      <c r="AW52" s="257">
        <f t="shared" si="78"/>
        <v>0</v>
      </c>
      <c r="AX52" s="257">
        <f t="shared" si="78"/>
        <v>0</v>
      </c>
      <c r="AY52" s="257">
        <f t="shared" si="78"/>
        <v>0</v>
      </c>
      <c r="AZ52" s="257">
        <f t="shared" si="78"/>
        <v>0</v>
      </c>
      <c r="BA52" s="257">
        <f t="shared" si="78"/>
        <v>0</v>
      </c>
      <c r="BB52" s="257">
        <f t="shared" si="78"/>
        <v>0</v>
      </c>
      <c r="BC52" s="257">
        <f t="shared" si="78"/>
        <v>0</v>
      </c>
      <c r="BD52" s="257">
        <f t="shared" si="78"/>
        <v>0</v>
      </c>
      <c r="BE52" s="257">
        <f t="shared" si="78"/>
        <v>0</v>
      </c>
      <c r="BF52" s="257">
        <f t="shared" si="78"/>
        <v>0</v>
      </c>
      <c r="BG52" s="257">
        <f t="shared" si="78"/>
        <v>0</v>
      </c>
      <c r="BH52" s="257">
        <f t="shared" si="78"/>
        <v>0</v>
      </c>
      <c r="BI52" s="257">
        <f t="shared" si="78"/>
        <v>0</v>
      </c>
      <c r="BJ52" s="257">
        <f t="shared" si="78"/>
        <v>0</v>
      </c>
      <c r="BK52" s="257">
        <f t="shared" si="78"/>
        <v>0</v>
      </c>
      <c r="BL52" s="257">
        <f t="shared" si="78"/>
        <v>0</v>
      </c>
      <c r="BM52" s="257">
        <f t="shared" si="78"/>
        <v>0</v>
      </c>
      <c r="BN52" s="257">
        <f t="shared" si="78"/>
        <v>0</v>
      </c>
      <c r="BO52" s="257">
        <f t="shared" si="78"/>
        <v>0</v>
      </c>
      <c r="BP52" s="257">
        <f t="shared" si="78"/>
        <v>0</v>
      </c>
      <c r="BQ52" s="257">
        <f t="shared" si="78"/>
        <v>0</v>
      </c>
      <c r="BR52" s="257">
        <f t="shared" si="78"/>
        <v>0</v>
      </c>
      <c r="BS52" s="257">
        <f t="shared" si="78"/>
        <v>0</v>
      </c>
      <c r="BT52" s="257">
        <f t="shared" si="78"/>
        <v>0</v>
      </c>
      <c r="BU52" s="257">
        <f t="shared" si="78"/>
        <v>0</v>
      </c>
      <c r="BV52" s="257">
        <f t="shared" si="78"/>
        <v>0</v>
      </c>
      <c r="BW52" s="257">
        <f t="shared" si="78"/>
        <v>0</v>
      </c>
      <c r="BX52" s="257">
        <f t="shared" si="78"/>
        <v>0</v>
      </c>
      <c r="BY52" s="257">
        <f t="shared" si="78"/>
        <v>0</v>
      </c>
      <c r="BZ52" s="257">
        <f t="shared" si="78"/>
        <v>0</v>
      </c>
      <c r="CA52" s="257">
        <f t="shared" si="78"/>
        <v>0</v>
      </c>
      <c r="CB52" s="257">
        <f t="shared" si="78"/>
        <v>0</v>
      </c>
      <c r="CC52" s="257">
        <f t="shared" si="78"/>
        <v>0</v>
      </c>
      <c r="CD52" s="257">
        <f t="shared" si="78"/>
        <v>0</v>
      </c>
      <c r="CE52" s="257">
        <f t="shared" si="78"/>
        <v>0</v>
      </c>
      <c r="CF52" s="257">
        <f t="shared" si="78"/>
        <v>0</v>
      </c>
      <c r="CG52" s="257">
        <f t="shared" si="78"/>
        <v>0</v>
      </c>
      <c r="CH52" s="257">
        <f t="shared" si="78"/>
        <v>0</v>
      </c>
      <c r="CI52" s="257">
        <f t="shared" si="78"/>
        <v>0</v>
      </c>
      <c r="CJ52" s="257">
        <f t="shared" si="78"/>
        <v>0</v>
      </c>
      <c r="CK52" s="257">
        <f t="shared" si="78"/>
        <v>0</v>
      </c>
      <c r="CL52" s="257">
        <f t="shared" si="78"/>
        <v>0</v>
      </c>
      <c r="CM52" s="257">
        <f t="shared" ref="CM52:DC52" si="79">CM46*$D$47</f>
        <v>0</v>
      </c>
      <c r="CN52" s="257">
        <f t="shared" si="79"/>
        <v>0</v>
      </c>
      <c r="CO52" s="257">
        <f t="shared" si="79"/>
        <v>0</v>
      </c>
      <c r="CP52" s="257">
        <f t="shared" si="79"/>
        <v>0</v>
      </c>
      <c r="CQ52" s="257">
        <f t="shared" si="79"/>
        <v>0</v>
      </c>
      <c r="CR52" s="257">
        <f t="shared" si="79"/>
        <v>0</v>
      </c>
      <c r="CS52" s="257">
        <f t="shared" si="79"/>
        <v>0</v>
      </c>
      <c r="CT52" s="257">
        <f t="shared" si="79"/>
        <v>0</v>
      </c>
      <c r="CU52" s="257">
        <f t="shared" si="79"/>
        <v>0</v>
      </c>
      <c r="CV52" s="257">
        <f t="shared" si="79"/>
        <v>0</v>
      </c>
      <c r="CW52" s="257">
        <f t="shared" si="79"/>
        <v>0</v>
      </c>
      <c r="CX52" s="257">
        <f t="shared" si="79"/>
        <v>0</v>
      </c>
      <c r="CY52" s="257">
        <f t="shared" si="79"/>
        <v>0</v>
      </c>
      <c r="CZ52" s="257">
        <f t="shared" si="79"/>
        <v>0</v>
      </c>
      <c r="DA52" s="257">
        <f t="shared" si="79"/>
        <v>0</v>
      </c>
      <c r="DB52" s="257">
        <f t="shared" si="79"/>
        <v>0</v>
      </c>
      <c r="DC52" s="257">
        <f t="shared" si="79"/>
        <v>0</v>
      </c>
    </row>
    <row r="54" spans="2:107" ht="15" customHeight="1" x14ac:dyDescent="0.35">
      <c r="E54" s="189" t="s">
        <v>4595</v>
      </c>
      <c r="F54" s="190"/>
      <c r="G54" s="191">
        <f>RCB!$G$8</f>
        <v>0</v>
      </c>
      <c r="I54" s="189" t="s">
        <v>4596</v>
      </c>
      <c r="J54" s="190"/>
      <c r="K54" s="191">
        <f>RCB!$J$8</f>
        <v>0</v>
      </c>
    </row>
    <row r="55" spans="2:107" ht="15" customHeight="1" x14ac:dyDescent="0.35">
      <c r="E55" s="189" t="s">
        <v>4074</v>
      </c>
      <c r="F55" s="190"/>
      <c r="G55" s="191">
        <f>RCB!$H$7</f>
        <v>0</v>
      </c>
      <c r="I55" s="189" t="s">
        <v>4075</v>
      </c>
      <c r="J55" s="190"/>
      <c r="K55" s="191">
        <f>RCB!$K$7</f>
        <v>0</v>
      </c>
    </row>
    <row r="57" spans="2:107" ht="15" hidden="1" customHeight="1" x14ac:dyDescent="0.25">
      <c r="B57" s="858" t="s">
        <v>4721</v>
      </c>
      <c r="C57" s="859"/>
      <c r="D57" s="859"/>
      <c r="E57" s="859"/>
      <c r="F57" s="859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</row>
    <row r="58" spans="2:107" s="103" customFormat="1" ht="15" hidden="1" customHeight="1" x14ac:dyDescent="0.25">
      <c r="B58" s="259"/>
      <c r="C58" s="260"/>
      <c r="D58" s="260"/>
      <c r="E58" s="260"/>
      <c r="F58" s="261"/>
      <c r="G58" s="262" t="s">
        <v>76</v>
      </c>
      <c r="H58" s="263" t="s">
        <v>4606</v>
      </c>
      <c r="I58" s="263" t="s">
        <v>4607</v>
      </c>
      <c r="J58" s="263" t="s">
        <v>4608</v>
      </c>
      <c r="K58" s="263" t="s">
        <v>4609</v>
      </c>
      <c r="L58" s="263" t="s">
        <v>4610</v>
      </c>
      <c r="M58" s="263" t="s">
        <v>4611</v>
      </c>
      <c r="N58" s="263" t="s">
        <v>4612</v>
      </c>
      <c r="O58" s="263" t="s">
        <v>4613</v>
      </c>
      <c r="P58" s="263" t="s">
        <v>4614</v>
      </c>
      <c r="Q58" s="263" t="s">
        <v>4615</v>
      </c>
      <c r="R58" s="263" t="s">
        <v>4616</v>
      </c>
      <c r="S58" s="263" t="s">
        <v>4617</v>
      </c>
      <c r="T58" s="263" t="s">
        <v>4618</v>
      </c>
      <c r="U58" s="263" t="s">
        <v>4619</v>
      </c>
      <c r="V58" s="263" t="s">
        <v>4620</v>
      </c>
      <c r="W58" s="263" t="s">
        <v>4621</v>
      </c>
      <c r="X58" s="263" t="s">
        <v>4622</v>
      </c>
      <c r="Y58" s="263" t="s">
        <v>4623</v>
      </c>
      <c r="Z58" s="263" t="s">
        <v>4624</v>
      </c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 t="s">
        <v>4625</v>
      </c>
    </row>
    <row r="59" spans="2:107" ht="15" hidden="1" customHeight="1" x14ac:dyDescent="0.25">
      <c r="B59" s="259">
        <v>31</v>
      </c>
      <c r="C59" s="264" t="s">
        <v>4196</v>
      </c>
      <c r="D59" s="264"/>
      <c r="E59" s="265"/>
      <c r="F59" s="266"/>
      <c r="G59" s="267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229"/>
      <c r="CC59" s="229"/>
      <c r="CD59" s="229"/>
      <c r="CE59" s="229"/>
      <c r="CF59" s="229"/>
      <c r="CG59" s="229"/>
      <c r="CH59" s="229"/>
      <c r="CI59" s="229"/>
      <c r="CJ59" s="229"/>
      <c r="CK59" s="229"/>
      <c r="CL59" s="229"/>
      <c r="CM59" s="229"/>
      <c r="CN59" s="229"/>
      <c r="CO59" s="229"/>
      <c r="CP59" s="229"/>
      <c r="CQ59" s="229"/>
      <c r="CR59" s="229"/>
      <c r="CS59" s="229"/>
      <c r="CT59" s="229"/>
      <c r="CU59" s="229"/>
      <c r="CV59" s="229"/>
      <c r="CW59" s="229"/>
      <c r="CX59" s="229"/>
      <c r="CY59" s="229"/>
      <c r="CZ59" s="229"/>
      <c r="DA59" s="229"/>
      <c r="DB59" s="229"/>
      <c r="DC59" s="229"/>
    </row>
    <row r="60" spans="2:107" ht="15" hidden="1" customHeight="1" x14ac:dyDescent="0.25">
      <c r="B60" s="259">
        <v>32</v>
      </c>
      <c r="C60" s="264" t="s">
        <v>4256</v>
      </c>
      <c r="D60" s="264"/>
      <c r="E60" s="265"/>
      <c r="F60" s="268" t="s">
        <v>4257</v>
      </c>
      <c r="G60" s="269">
        <f>SUM(H60:DC60)</f>
        <v>0</v>
      </c>
      <c r="H60" s="270"/>
      <c r="I60" s="270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</row>
    <row r="61" spans="2:107" ht="15" hidden="1" customHeight="1" x14ac:dyDescent="0.25">
      <c r="B61" s="902">
        <v>33</v>
      </c>
      <c r="C61" s="264" t="s">
        <v>4473</v>
      </c>
      <c r="D61" s="264"/>
      <c r="E61" s="265" t="s">
        <v>4199</v>
      </c>
      <c r="F61" s="268" t="s">
        <v>4474</v>
      </c>
      <c r="G61" s="271">
        <f>SUM(H61:DC61)</f>
        <v>0</v>
      </c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</row>
    <row r="62" spans="2:107" ht="15" hidden="1" customHeight="1" x14ac:dyDescent="0.25">
      <c r="B62" s="760"/>
      <c r="C62" s="264" t="s">
        <v>4331</v>
      </c>
      <c r="D62" s="264"/>
      <c r="E62" s="265" t="s">
        <v>3857</v>
      </c>
      <c r="F62" s="268" t="s">
        <v>4320</v>
      </c>
      <c r="G62" s="271">
        <f>SUM(H62:DC62)</f>
        <v>0</v>
      </c>
      <c r="H62" s="272">
        <f t="shared" ref="H62:Z62" si="80">(H60*H61)/1000</f>
        <v>0</v>
      </c>
      <c r="I62" s="272">
        <f t="shared" si="80"/>
        <v>0</v>
      </c>
      <c r="J62" s="272">
        <f t="shared" si="80"/>
        <v>0</v>
      </c>
      <c r="K62" s="272">
        <f t="shared" si="80"/>
        <v>0</v>
      </c>
      <c r="L62" s="272">
        <f t="shared" si="80"/>
        <v>0</v>
      </c>
      <c r="M62" s="272">
        <f t="shared" si="80"/>
        <v>0</v>
      </c>
      <c r="N62" s="272">
        <f t="shared" si="80"/>
        <v>0</v>
      </c>
      <c r="O62" s="272">
        <f t="shared" si="80"/>
        <v>0</v>
      </c>
      <c r="P62" s="272">
        <f t="shared" si="80"/>
        <v>0</v>
      </c>
      <c r="Q62" s="272">
        <f t="shared" si="80"/>
        <v>0</v>
      </c>
      <c r="R62" s="272">
        <f t="shared" si="80"/>
        <v>0</v>
      </c>
      <c r="S62" s="272">
        <f t="shared" si="80"/>
        <v>0</v>
      </c>
      <c r="T62" s="272">
        <f t="shared" si="80"/>
        <v>0</v>
      </c>
      <c r="U62" s="272">
        <f t="shared" si="80"/>
        <v>0</v>
      </c>
      <c r="V62" s="272">
        <f t="shared" si="80"/>
        <v>0</v>
      </c>
      <c r="W62" s="272">
        <f t="shared" si="80"/>
        <v>0</v>
      </c>
      <c r="X62" s="272">
        <f t="shared" si="80"/>
        <v>0</v>
      </c>
      <c r="Y62" s="272">
        <f t="shared" si="80"/>
        <v>0</v>
      </c>
      <c r="Z62" s="272">
        <f t="shared" si="80"/>
        <v>0</v>
      </c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>
        <f>(DC60*DC61)/1000</f>
        <v>0</v>
      </c>
    </row>
    <row r="63" spans="2:107" ht="15" hidden="1" customHeight="1" x14ac:dyDescent="0.25">
      <c r="B63" s="902">
        <v>34</v>
      </c>
      <c r="C63" s="264" t="s">
        <v>4475</v>
      </c>
      <c r="D63" s="264"/>
      <c r="E63" s="265"/>
      <c r="F63" s="268" t="s">
        <v>4476</v>
      </c>
      <c r="G63" s="271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</row>
    <row r="64" spans="2:107" ht="15" hidden="1" customHeight="1" x14ac:dyDescent="0.25">
      <c r="B64" s="758"/>
      <c r="C64" s="264" t="s">
        <v>4477</v>
      </c>
      <c r="D64" s="264"/>
      <c r="E64" s="265"/>
      <c r="F64" s="268" t="s">
        <v>4478</v>
      </c>
      <c r="G64" s="271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</row>
    <row r="65" spans="2:107" ht="15" hidden="1" customHeight="1" x14ac:dyDescent="0.25">
      <c r="B65" s="760"/>
      <c r="C65" s="264" t="s">
        <v>4479</v>
      </c>
      <c r="D65" s="264"/>
      <c r="E65" s="265" t="s">
        <v>4480</v>
      </c>
      <c r="F65" s="268" t="s">
        <v>4481</v>
      </c>
      <c r="G65" s="271">
        <f>SUM(H65:DC65)</f>
        <v>0</v>
      </c>
      <c r="H65" s="272">
        <f t="shared" ref="H65:Z65" si="81">H60*H63*H64</f>
        <v>0</v>
      </c>
      <c r="I65" s="272">
        <f t="shared" si="81"/>
        <v>0</v>
      </c>
      <c r="J65" s="272">
        <f t="shared" si="81"/>
        <v>0</v>
      </c>
      <c r="K65" s="272">
        <f t="shared" si="81"/>
        <v>0</v>
      </c>
      <c r="L65" s="272">
        <f t="shared" si="81"/>
        <v>0</v>
      </c>
      <c r="M65" s="272">
        <f t="shared" si="81"/>
        <v>0</v>
      </c>
      <c r="N65" s="272">
        <f t="shared" si="81"/>
        <v>0</v>
      </c>
      <c r="O65" s="272">
        <f t="shared" si="81"/>
        <v>0</v>
      </c>
      <c r="P65" s="272">
        <f t="shared" si="81"/>
        <v>0</v>
      </c>
      <c r="Q65" s="272">
        <f t="shared" si="81"/>
        <v>0</v>
      </c>
      <c r="R65" s="272">
        <f t="shared" si="81"/>
        <v>0</v>
      </c>
      <c r="S65" s="272">
        <f t="shared" si="81"/>
        <v>0</v>
      </c>
      <c r="T65" s="272">
        <f t="shared" si="81"/>
        <v>0</v>
      </c>
      <c r="U65" s="272">
        <f t="shared" si="81"/>
        <v>0</v>
      </c>
      <c r="V65" s="272">
        <f t="shared" si="81"/>
        <v>0</v>
      </c>
      <c r="W65" s="272">
        <f t="shared" si="81"/>
        <v>0</v>
      </c>
      <c r="X65" s="272">
        <f t="shared" si="81"/>
        <v>0</v>
      </c>
      <c r="Y65" s="272">
        <f t="shared" si="81"/>
        <v>0</v>
      </c>
      <c r="Z65" s="272">
        <f t="shared" si="81"/>
        <v>0</v>
      </c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>
        <f>DC60*DC63*DC64</f>
        <v>0</v>
      </c>
    </row>
    <row r="66" spans="2:107" ht="15" hidden="1" customHeight="1" x14ac:dyDescent="0.25">
      <c r="B66" s="902">
        <v>35</v>
      </c>
      <c r="C66" s="264" t="s">
        <v>4207</v>
      </c>
      <c r="D66" s="264"/>
      <c r="E66" s="273" t="s">
        <v>4208</v>
      </c>
      <c r="F66" s="276"/>
      <c r="G66" s="274" t="str">
        <f>IF(COUNTA(H66:DC66)=0,"",IF(OR(LARGE(H66:DC66,1)&gt;24,SMALL(H66:DC66,1)&lt;0),"ERRO",""))</f>
        <v/>
      </c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</row>
    <row r="67" spans="2:107" ht="15" hidden="1" customHeight="1" x14ac:dyDescent="0.25">
      <c r="B67" s="758"/>
      <c r="C67" s="275" t="s">
        <v>4209</v>
      </c>
      <c r="D67" s="275"/>
      <c r="E67" s="552" t="s">
        <v>4210</v>
      </c>
      <c r="F67" s="276"/>
      <c r="G67" s="274" t="str">
        <f>IF(COUNTA(H67:DC67)=0,"",IF(OR(LARGE(H67:DC67,1)&gt;365,SMALL(H67:DC67,1)&lt;0),"ERRO",""))</f>
        <v/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</row>
    <row r="68" spans="2:107" ht="15" hidden="1" customHeight="1" x14ac:dyDescent="0.25">
      <c r="B68" s="760"/>
      <c r="C68" s="264" t="s">
        <v>4211</v>
      </c>
      <c r="D68" s="264"/>
      <c r="E68" s="265" t="s">
        <v>4212</v>
      </c>
      <c r="F68" s="276" t="s">
        <v>4213</v>
      </c>
      <c r="G68" s="274" t="str">
        <f>IF(COUNTA(H68:DC68)=0,"",IF(OR(LARGE(H68:DC68,1)&gt;8760,SMALL(H68:DC68,1)&lt;0),"ERRO",""))</f>
        <v/>
      </c>
      <c r="H68" s="272">
        <f t="shared" ref="H68:Z68" si="82">H66*H67</f>
        <v>0</v>
      </c>
      <c r="I68" s="272">
        <f t="shared" si="82"/>
        <v>0</v>
      </c>
      <c r="J68" s="272">
        <f t="shared" si="82"/>
        <v>0</v>
      </c>
      <c r="K68" s="272">
        <f t="shared" si="82"/>
        <v>0</v>
      </c>
      <c r="L68" s="272">
        <f t="shared" si="82"/>
        <v>0</v>
      </c>
      <c r="M68" s="272">
        <f t="shared" si="82"/>
        <v>0</v>
      </c>
      <c r="N68" s="272">
        <f t="shared" si="82"/>
        <v>0</v>
      </c>
      <c r="O68" s="272">
        <f t="shared" si="82"/>
        <v>0</v>
      </c>
      <c r="P68" s="272">
        <f t="shared" si="82"/>
        <v>0</v>
      </c>
      <c r="Q68" s="272">
        <f t="shared" si="82"/>
        <v>0</v>
      </c>
      <c r="R68" s="272">
        <f t="shared" si="82"/>
        <v>0</v>
      </c>
      <c r="S68" s="272">
        <f t="shared" si="82"/>
        <v>0</v>
      </c>
      <c r="T68" s="272">
        <f t="shared" si="82"/>
        <v>0</v>
      </c>
      <c r="U68" s="272">
        <f t="shared" si="82"/>
        <v>0</v>
      </c>
      <c r="V68" s="272">
        <f t="shared" si="82"/>
        <v>0</v>
      </c>
      <c r="W68" s="272">
        <f t="shared" si="82"/>
        <v>0</v>
      </c>
      <c r="X68" s="272">
        <f t="shared" si="82"/>
        <v>0</v>
      </c>
      <c r="Y68" s="272">
        <f t="shared" si="82"/>
        <v>0</v>
      </c>
      <c r="Z68" s="272">
        <f t="shared" si="82"/>
        <v>0</v>
      </c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>
        <f>DC66*DC67</f>
        <v>0</v>
      </c>
    </row>
    <row r="69" spans="2:107" ht="15" hidden="1" customHeight="1" x14ac:dyDescent="0.25">
      <c r="B69" s="902">
        <v>36</v>
      </c>
      <c r="C69" s="264" t="s">
        <v>4222</v>
      </c>
      <c r="D69" s="264"/>
      <c r="E69" s="265" t="s">
        <v>3857</v>
      </c>
      <c r="F69" s="276" t="s">
        <v>4223</v>
      </c>
      <c r="G69" s="550">
        <f>SUM(H69:DC69)</f>
        <v>0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</row>
    <row r="70" spans="2:107" ht="15" hidden="1" customHeight="1" x14ac:dyDescent="0.25">
      <c r="B70" s="760"/>
      <c r="C70" s="264" t="s">
        <v>4224</v>
      </c>
      <c r="D70" s="264"/>
      <c r="E70" s="265"/>
      <c r="F70" s="276" t="s">
        <v>4225</v>
      </c>
      <c r="G70" s="274" t="str">
        <f>IF(COUNTA(H70:DC70)=0,"",IF(OR(LARGE(H70:DC70,1)&gt;1,SMALL(H70:DC70,1)&lt;0),"ERRO",""))</f>
        <v/>
      </c>
      <c r="H70" s="272">
        <f t="shared" ref="H70:Z70" si="83">IF(H62=0,0,H69/H62)</f>
        <v>0</v>
      </c>
      <c r="I70" s="272">
        <f t="shared" si="83"/>
        <v>0</v>
      </c>
      <c r="J70" s="272">
        <f t="shared" si="83"/>
        <v>0</v>
      </c>
      <c r="K70" s="272">
        <f t="shared" si="83"/>
        <v>0</v>
      </c>
      <c r="L70" s="272">
        <f t="shared" si="83"/>
        <v>0</v>
      </c>
      <c r="M70" s="272">
        <f t="shared" si="83"/>
        <v>0</v>
      </c>
      <c r="N70" s="272">
        <f t="shared" si="83"/>
        <v>0</v>
      </c>
      <c r="O70" s="272">
        <f t="shared" si="83"/>
        <v>0</v>
      </c>
      <c r="P70" s="272">
        <f t="shared" si="83"/>
        <v>0</v>
      </c>
      <c r="Q70" s="272">
        <f t="shared" si="83"/>
        <v>0</v>
      </c>
      <c r="R70" s="272">
        <f t="shared" si="83"/>
        <v>0</v>
      </c>
      <c r="S70" s="272">
        <f t="shared" si="83"/>
        <v>0</v>
      </c>
      <c r="T70" s="272">
        <f t="shared" si="83"/>
        <v>0</v>
      </c>
      <c r="U70" s="272">
        <f t="shared" si="83"/>
        <v>0</v>
      </c>
      <c r="V70" s="272">
        <f t="shared" si="83"/>
        <v>0</v>
      </c>
      <c r="W70" s="272">
        <f t="shared" si="83"/>
        <v>0</v>
      </c>
      <c r="X70" s="272">
        <f t="shared" si="83"/>
        <v>0</v>
      </c>
      <c r="Y70" s="272">
        <f t="shared" si="83"/>
        <v>0</v>
      </c>
      <c r="Z70" s="272">
        <f t="shared" si="83"/>
        <v>0</v>
      </c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>
        <f>IF(DC62=0,0,DC69/DC62)</f>
        <v>0</v>
      </c>
    </row>
    <row r="71" spans="2:107" ht="15" hidden="1" customHeight="1" x14ac:dyDescent="0.25">
      <c r="B71" s="259">
        <v>37</v>
      </c>
      <c r="C71" s="264" t="s">
        <v>4226</v>
      </c>
      <c r="D71" s="264"/>
      <c r="E71" s="265" t="s">
        <v>3854</v>
      </c>
      <c r="F71" s="276" t="s">
        <v>4227</v>
      </c>
      <c r="G71" s="271">
        <f>SUM(H71:DC71)</f>
        <v>0</v>
      </c>
      <c r="H71" s="277">
        <f t="shared" ref="H71:Z71" si="84">(H65*H68)/1000</f>
        <v>0</v>
      </c>
      <c r="I71" s="277">
        <f t="shared" si="84"/>
        <v>0</v>
      </c>
      <c r="J71" s="277">
        <f t="shared" si="84"/>
        <v>0</v>
      </c>
      <c r="K71" s="277">
        <f t="shared" si="84"/>
        <v>0</v>
      </c>
      <c r="L71" s="277">
        <f t="shared" si="84"/>
        <v>0</v>
      </c>
      <c r="M71" s="277">
        <f t="shared" si="84"/>
        <v>0</v>
      </c>
      <c r="N71" s="277">
        <f t="shared" si="84"/>
        <v>0</v>
      </c>
      <c r="O71" s="277">
        <f t="shared" si="84"/>
        <v>0</v>
      </c>
      <c r="P71" s="277">
        <f t="shared" si="84"/>
        <v>0</v>
      </c>
      <c r="Q71" s="277">
        <f t="shared" si="84"/>
        <v>0</v>
      </c>
      <c r="R71" s="277">
        <f t="shared" si="84"/>
        <v>0</v>
      </c>
      <c r="S71" s="277">
        <f t="shared" si="84"/>
        <v>0</v>
      </c>
      <c r="T71" s="277">
        <f t="shared" si="84"/>
        <v>0</v>
      </c>
      <c r="U71" s="277">
        <f t="shared" si="84"/>
        <v>0</v>
      </c>
      <c r="V71" s="277">
        <f t="shared" si="84"/>
        <v>0</v>
      </c>
      <c r="W71" s="277">
        <f t="shared" si="84"/>
        <v>0</v>
      </c>
      <c r="X71" s="277">
        <f t="shared" si="84"/>
        <v>0</v>
      </c>
      <c r="Y71" s="277">
        <f t="shared" si="84"/>
        <v>0</v>
      </c>
      <c r="Z71" s="277">
        <f t="shared" si="84"/>
        <v>0</v>
      </c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/>
      <c r="DC71" s="277">
        <f>(DC65*DC68)/1000</f>
        <v>0</v>
      </c>
    </row>
    <row r="72" spans="2:107" ht="15" hidden="1" customHeight="1" x14ac:dyDescent="0.25">
      <c r="B72" s="259">
        <v>38</v>
      </c>
      <c r="C72" s="264" t="s">
        <v>4260</v>
      </c>
      <c r="D72" s="264"/>
      <c r="E72" s="265" t="s">
        <v>3912</v>
      </c>
      <c r="F72" s="276" t="s">
        <v>4261</v>
      </c>
      <c r="G72" s="278">
        <f t="shared" ref="G72:Z72" si="85">IF(OR(G20=0,G71=0),0,(G71-G20)/G20)</f>
        <v>0</v>
      </c>
      <c r="H72" s="279">
        <f t="shared" si="85"/>
        <v>0</v>
      </c>
      <c r="I72" s="279">
        <f t="shared" si="85"/>
        <v>0</v>
      </c>
      <c r="J72" s="279">
        <f t="shared" si="85"/>
        <v>0</v>
      </c>
      <c r="K72" s="279">
        <f t="shared" si="85"/>
        <v>0</v>
      </c>
      <c r="L72" s="279">
        <f t="shared" si="85"/>
        <v>0</v>
      </c>
      <c r="M72" s="279">
        <f t="shared" si="85"/>
        <v>0</v>
      </c>
      <c r="N72" s="279">
        <f t="shared" si="85"/>
        <v>0</v>
      </c>
      <c r="O72" s="279">
        <f t="shared" si="85"/>
        <v>0</v>
      </c>
      <c r="P72" s="279">
        <f t="shared" si="85"/>
        <v>0</v>
      </c>
      <c r="Q72" s="279">
        <f t="shared" si="85"/>
        <v>0</v>
      </c>
      <c r="R72" s="279">
        <f t="shared" si="85"/>
        <v>0</v>
      </c>
      <c r="S72" s="279">
        <f t="shared" si="85"/>
        <v>0</v>
      </c>
      <c r="T72" s="279">
        <f t="shared" si="85"/>
        <v>0</v>
      </c>
      <c r="U72" s="279">
        <f t="shared" si="85"/>
        <v>0</v>
      </c>
      <c r="V72" s="279">
        <f t="shared" si="85"/>
        <v>0</v>
      </c>
      <c r="W72" s="279">
        <f t="shared" si="85"/>
        <v>0</v>
      </c>
      <c r="X72" s="279">
        <f t="shared" si="85"/>
        <v>0</v>
      </c>
      <c r="Y72" s="279">
        <f t="shared" si="85"/>
        <v>0</v>
      </c>
      <c r="Z72" s="279">
        <f t="shared" si="85"/>
        <v>0</v>
      </c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279"/>
      <c r="BU72" s="279"/>
      <c r="BV72" s="279"/>
      <c r="BW72" s="279"/>
      <c r="BX72" s="279"/>
      <c r="BY72" s="279"/>
      <c r="BZ72" s="279"/>
      <c r="CA72" s="279"/>
      <c r="CB72" s="279"/>
      <c r="CC72" s="279"/>
      <c r="CD72" s="279"/>
      <c r="CE72" s="279"/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>
        <f>IF(OR(DC20=0,DC71=0),0,(DC71-DC20)/DC20)</f>
        <v>0</v>
      </c>
    </row>
    <row r="73" spans="2:107" ht="15" hidden="1" customHeight="1" x14ac:dyDescent="0.25">
      <c r="B73" s="259">
        <v>39</v>
      </c>
      <c r="C73" s="264" t="s">
        <v>4228</v>
      </c>
      <c r="D73" s="264"/>
      <c r="E73" s="265" t="s">
        <v>3857</v>
      </c>
      <c r="F73" s="276" t="s">
        <v>4229</v>
      </c>
      <c r="G73" s="271">
        <f>SUM(H73:DC73)</f>
        <v>0</v>
      </c>
      <c r="H73" s="277">
        <f t="shared" ref="H73:Z73" si="86">H62*H70</f>
        <v>0</v>
      </c>
      <c r="I73" s="277">
        <f t="shared" si="86"/>
        <v>0</v>
      </c>
      <c r="J73" s="277">
        <f t="shared" si="86"/>
        <v>0</v>
      </c>
      <c r="K73" s="277">
        <f t="shared" si="86"/>
        <v>0</v>
      </c>
      <c r="L73" s="277">
        <f t="shared" si="86"/>
        <v>0</v>
      </c>
      <c r="M73" s="277">
        <f t="shared" si="86"/>
        <v>0</v>
      </c>
      <c r="N73" s="277">
        <f t="shared" si="86"/>
        <v>0</v>
      </c>
      <c r="O73" s="277">
        <f t="shared" si="86"/>
        <v>0</v>
      </c>
      <c r="P73" s="277">
        <f t="shared" si="86"/>
        <v>0</v>
      </c>
      <c r="Q73" s="277">
        <f t="shared" si="86"/>
        <v>0</v>
      </c>
      <c r="R73" s="277">
        <f t="shared" si="86"/>
        <v>0</v>
      </c>
      <c r="S73" s="277">
        <f t="shared" si="86"/>
        <v>0</v>
      </c>
      <c r="T73" s="277">
        <f t="shared" si="86"/>
        <v>0</v>
      </c>
      <c r="U73" s="277">
        <f t="shared" si="86"/>
        <v>0</v>
      </c>
      <c r="V73" s="277">
        <f t="shared" si="86"/>
        <v>0</v>
      </c>
      <c r="W73" s="277">
        <f t="shared" si="86"/>
        <v>0</v>
      </c>
      <c r="X73" s="277">
        <f t="shared" si="86"/>
        <v>0</v>
      </c>
      <c r="Y73" s="277">
        <f t="shared" si="86"/>
        <v>0</v>
      </c>
      <c r="Z73" s="277">
        <f t="shared" si="86"/>
        <v>0</v>
      </c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7"/>
      <c r="DB73" s="277"/>
      <c r="DC73" s="277">
        <f>DC62*DC70</f>
        <v>0</v>
      </c>
    </row>
    <row r="74" spans="2:107" ht="15" hidden="1" customHeight="1" x14ac:dyDescent="0.25">
      <c r="B74" s="259">
        <v>40</v>
      </c>
      <c r="C74" s="264" t="s">
        <v>4262</v>
      </c>
      <c r="D74" s="264"/>
      <c r="E74" s="265" t="s">
        <v>3912</v>
      </c>
      <c r="F74" s="276" t="s">
        <v>4263</v>
      </c>
      <c r="G74" s="278">
        <f t="shared" ref="G74:Z74" si="87">IF(OR(G21=0,G73=0),0,(G73-G21)/G21)</f>
        <v>0</v>
      </c>
      <c r="H74" s="279">
        <f t="shared" si="87"/>
        <v>0</v>
      </c>
      <c r="I74" s="279">
        <f t="shared" si="87"/>
        <v>0</v>
      </c>
      <c r="J74" s="279">
        <f t="shared" si="87"/>
        <v>0</v>
      </c>
      <c r="K74" s="279">
        <f t="shared" si="87"/>
        <v>0</v>
      </c>
      <c r="L74" s="279">
        <f t="shared" si="87"/>
        <v>0</v>
      </c>
      <c r="M74" s="279">
        <f t="shared" si="87"/>
        <v>0</v>
      </c>
      <c r="N74" s="279">
        <f t="shared" si="87"/>
        <v>0</v>
      </c>
      <c r="O74" s="279">
        <f t="shared" si="87"/>
        <v>0</v>
      </c>
      <c r="P74" s="279">
        <f t="shared" si="87"/>
        <v>0</v>
      </c>
      <c r="Q74" s="279">
        <f t="shared" si="87"/>
        <v>0</v>
      </c>
      <c r="R74" s="279">
        <f t="shared" si="87"/>
        <v>0</v>
      </c>
      <c r="S74" s="279">
        <f t="shared" si="87"/>
        <v>0</v>
      </c>
      <c r="T74" s="279">
        <f t="shared" si="87"/>
        <v>0</v>
      </c>
      <c r="U74" s="279">
        <f t="shared" si="87"/>
        <v>0</v>
      </c>
      <c r="V74" s="279">
        <f t="shared" si="87"/>
        <v>0</v>
      </c>
      <c r="W74" s="279">
        <f t="shared" si="87"/>
        <v>0</v>
      </c>
      <c r="X74" s="279">
        <f t="shared" si="87"/>
        <v>0</v>
      </c>
      <c r="Y74" s="279">
        <f t="shared" si="87"/>
        <v>0</v>
      </c>
      <c r="Z74" s="279">
        <f t="shared" si="87"/>
        <v>0</v>
      </c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>
        <f>IF(OR(DC21=0,DC73=0),0,(DC73-DC21)/DC21)</f>
        <v>0</v>
      </c>
    </row>
    <row r="75" spans="2:107" hidden="1" x14ac:dyDescent="0.25"/>
    <row r="76" spans="2:107" ht="15" hidden="1" customHeight="1" x14ac:dyDescent="0.25">
      <c r="B76" s="858" t="s">
        <v>4722</v>
      </c>
      <c r="C76" s="859"/>
      <c r="D76" s="859"/>
      <c r="E76" s="859"/>
      <c r="F76" s="859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58"/>
    </row>
    <row r="77" spans="2:107" s="103" customFormat="1" ht="15" hidden="1" customHeight="1" x14ac:dyDescent="0.25">
      <c r="B77" s="259"/>
      <c r="C77" s="260"/>
      <c r="D77" s="260"/>
      <c r="E77" s="260"/>
      <c r="F77" s="261"/>
      <c r="G77" s="262" t="s">
        <v>76</v>
      </c>
      <c r="H77" s="263" t="s">
        <v>4606</v>
      </c>
      <c r="I77" s="263" t="s">
        <v>4607</v>
      </c>
      <c r="J77" s="263" t="s">
        <v>4608</v>
      </c>
      <c r="K77" s="263" t="s">
        <v>4609</v>
      </c>
      <c r="L77" s="263" t="s">
        <v>4610</v>
      </c>
      <c r="M77" s="263" t="s">
        <v>4611</v>
      </c>
      <c r="N77" s="263" t="s">
        <v>4612</v>
      </c>
      <c r="O77" s="263" t="s">
        <v>4613</v>
      </c>
      <c r="P77" s="263" t="s">
        <v>4614</v>
      </c>
      <c r="Q77" s="263" t="s">
        <v>4615</v>
      </c>
      <c r="R77" s="263" t="s">
        <v>4616</v>
      </c>
      <c r="S77" s="263" t="s">
        <v>4617</v>
      </c>
      <c r="T77" s="263" t="s">
        <v>4618</v>
      </c>
      <c r="U77" s="263" t="s">
        <v>4619</v>
      </c>
      <c r="V77" s="263" t="s">
        <v>4620</v>
      </c>
      <c r="W77" s="263" t="s">
        <v>4621</v>
      </c>
      <c r="X77" s="263" t="s">
        <v>4622</v>
      </c>
      <c r="Y77" s="263" t="s">
        <v>4623</v>
      </c>
      <c r="Z77" s="263" t="s">
        <v>4624</v>
      </c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 t="s">
        <v>4625</v>
      </c>
    </row>
    <row r="78" spans="2:107" ht="15" hidden="1" customHeight="1" x14ac:dyDescent="0.25">
      <c r="B78" s="259">
        <v>41</v>
      </c>
      <c r="C78" s="264" t="s">
        <v>4196</v>
      </c>
      <c r="D78" s="264"/>
      <c r="E78" s="265"/>
      <c r="F78" s="266"/>
      <c r="G78" s="267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29"/>
      <c r="CX78" s="229"/>
      <c r="CY78" s="229"/>
      <c r="CZ78" s="229"/>
      <c r="DA78" s="229"/>
      <c r="DB78" s="229"/>
      <c r="DC78" s="229"/>
    </row>
    <row r="79" spans="2:107" ht="15" hidden="1" customHeight="1" x14ac:dyDescent="0.25">
      <c r="B79" s="259">
        <v>42</v>
      </c>
      <c r="C79" s="264" t="s">
        <v>4256</v>
      </c>
      <c r="D79" s="264"/>
      <c r="E79" s="265"/>
      <c r="F79" s="268" t="s">
        <v>4265</v>
      </c>
      <c r="G79" s="269">
        <f>SUM(H79:DC79)</f>
        <v>0</v>
      </c>
      <c r="H79" s="270"/>
      <c r="I79" s="270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4"/>
      <c r="CJ79" s="234"/>
      <c r="CK79" s="234"/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</row>
    <row r="80" spans="2:107" ht="15" hidden="1" customHeight="1" x14ac:dyDescent="0.25">
      <c r="B80" s="902">
        <v>43</v>
      </c>
      <c r="C80" s="264" t="s">
        <v>4473</v>
      </c>
      <c r="D80" s="264"/>
      <c r="E80" s="265" t="s">
        <v>4199</v>
      </c>
      <c r="F80" s="268" t="s">
        <v>4483</v>
      </c>
      <c r="G80" s="271">
        <f>SUM(H80:DC80)</f>
        <v>0</v>
      </c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</row>
    <row r="81" spans="2:107" ht="15" hidden="1" customHeight="1" x14ac:dyDescent="0.25">
      <c r="B81" s="760"/>
      <c r="C81" s="264" t="s">
        <v>4331</v>
      </c>
      <c r="D81" s="264"/>
      <c r="E81" s="265" t="s">
        <v>3857</v>
      </c>
      <c r="F81" s="268" t="s">
        <v>4464</v>
      </c>
      <c r="G81" s="271">
        <f>SUM(H81:DC81)</f>
        <v>0</v>
      </c>
      <c r="H81" s="272">
        <f t="shared" ref="H81:Z81" si="88">(H79*H80)/1000</f>
        <v>0</v>
      </c>
      <c r="I81" s="272">
        <f t="shared" si="88"/>
        <v>0</v>
      </c>
      <c r="J81" s="272">
        <f t="shared" si="88"/>
        <v>0</v>
      </c>
      <c r="K81" s="272">
        <f t="shared" si="88"/>
        <v>0</v>
      </c>
      <c r="L81" s="272">
        <f t="shared" si="88"/>
        <v>0</v>
      </c>
      <c r="M81" s="272">
        <f t="shared" si="88"/>
        <v>0</v>
      </c>
      <c r="N81" s="272">
        <f t="shared" si="88"/>
        <v>0</v>
      </c>
      <c r="O81" s="272">
        <f t="shared" si="88"/>
        <v>0</v>
      </c>
      <c r="P81" s="272">
        <f t="shared" si="88"/>
        <v>0</v>
      </c>
      <c r="Q81" s="272">
        <f t="shared" si="88"/>
        <v>0</v>
      </c>
      <c r="R81" s="272">
        <f t="shared" si="88"/>
        <v>0</v>
      </c>
      <c r="S81" s="272">
        <f t="shared" si="88"/>
        <v>0</v>
      </c>
      <c r="T81" s="272">
        <f t="shared" si="88"/>
        <v>0</v>
      </c>
      <c r="U81" s="272">
        <f t="shared" si="88"/>
        <v>0</v>
      </c>
      <c r="V81" s="272">
        <f t="shared" si="88"/>
        <v>0</v>
      </c>
      <c r="W81" s="272">
        <f t="shared" si="88"/>
        <v>0</v>
      </c>
      <c r="X81" s="272">
        <f t="shared" si="88"/>
        <v>0</v>
      </c>
      <c r="Y81" s="272">
        <f t="shared" si="88"/>
        <v>0</v>
      </c>
      <c r="Z81" s="272">
        <f t="shared" si="88"/>
        <v>0</v>
      </c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  <c r="CQ81" s="272"/>
      <c r="CR81" s="272"/>
      <c r="CS81" s="272"/>
      <c r="CT81" s="272"/>
      <c r="CU81" s="272"/>
      <c r="CV81" s="272"/>
      <c r="CW81" s="272"/>
      <c r="CX81" s="272"/>
      <c r="CY81" s="272"/>
      <c r="CZ81" s="272"/>
      <c r="DA81" s="272"/>
      <c r="DB81" s="272"/>
      <c r="DC81" s="272">
        <f>(DC79*DC80)/1000</f>
        <v>0</v>
      </c>
    </row>
    <row r="82" spans="2:107" ht="15" hidden="1" customHeight="1" x14ac:dyDescent="0.25">
      <c r="B82" s="902">
        <v>44</v>
      </c>
      <c r="C82" s="264" t="s">
        <v>4475</v>
      </c>
      <c r="D82" s="264"/>
      <c r="E82" s="265"/>
      <c r="F82" s="268" t="s">
        <v>4484</v>
      </c>
      <c r="G82" s="271">
        <f>SUM(H82:DC82)</f>
        <v>0</v>
      </c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</row>
    <row r="83" spans="2:107" ht="15" hidden="1" customHeight="1" x14ac:dyDescent="0.25">
      <c r="B83" s="758"/>
      <c r="C83" s="264" t="s">
        <v>4477</v>
      </c>
      <c r="D83" s="264"/>
      <c r="E83" s="265"/>
      <c r="F83" s="268" t="s">
        <v>4485</v>
      </c>
      <c r="G83" s="271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</row>
    <row r="84" spans="2:107" ht="15" hidden="1" customHeight="1" x14ac:dyDescent="0.25">
      <c r="B84" s="760"/>
      <c r="C84" s="264" t="s">
        <v>4479</v>
      </c>
      <c r="D84" s="264"/>
      <c r="E84" s="265" t="s">
        <v>4480</v>
      </c>
      <c r="F84" s="268" t="s">
        <v>4486</v>
      </c>
      <c r="G84" s="271">
        <f>SUM(H84:DC84)</f>
        <v>0</v>
      </c>
      <c r="H84" s="272">
        <f t="shared" ref="H84:Z84" si="89">H79*H82*H83</f>
        <v>0</v>
      </c>
      <c r="I84" s="272">
        <f t="shared" si="89"/>
        <v>0</v>
      </c>
      <c r="J84" s="272">
        <f t="shared" si="89"/>
        <v>0</v>
      </c>
      <c r="K84" s="272">
        <f t="shared" si="89"/>
        <v>0</v>
      </c>
      <c r="L84" s="272">
        <f t="shared" si="89"/>
        <v>0</v>
      </c>
      <c r="M84" s="272">
        <f t="shared" si="89"/>
        <v>0</v>
      </c>
      <c r="N84" s="272">
        <f t="shared" si="89"/>
        <v>0</v>
      </c>
      <c r="O84" s="272">
        <f t="shared" si="89"/>
        <v>0</v>
      </c>
      <c r="P84" s="272">
        <f t="shared" si="89"/>
        <v>0</v>
      </c>
      <c r="Q84" s="272">
        <f t="shared" si="89"/>
        <v>0</v>
      </c>
      <c r="R84" s="272">
        <f t="shared" si="89"/>
        <v>0</v>
      </c>
      <c r="S84" s="272">
        <f t="shared" si="89"/>
        <v>0</v>
      </c>
      <c r="T84" s="272">
        <f t="shared" si="89"/>
        <v>0</v>
      </c>
      <c r="U84" s="272">
        <f t="shared" si="89"/>
        <v>0</v>
      </c>
      <c r="V84" s="272">
        <f t="shared" si="89"/>
        <v>0</v>
      </c>
      <c r="W84" s="272">
        <f t="shared" si="89"/>
        <v>0</v>
      </c>
      <c r="X84" s="272">
        <f t="shared" si="89"/>
        <v>0</v>
      </c>
      <c r="Y84" s="272">
        <f t="shared" si="89"/>
        <v>0</v>
      </c>
      <c r="Z84" s="272">
        <f t="shared" si="89"/>
        <v>0</v>
      </c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  <c r="CG84" s="272"/>
      <c r="CH84" s="272"/>
      <c r="CI84" s="27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>
        <f>DC79*DC82*DC83</f>
        <v>0</v>
      </c>
    </row>
    <row r="85" spans="2:107" ht="15" hidden="1" customHeight="1" x14ac:dyDescent="0.25">
      <c r="B85" s="902">
        <v>45</v>
      </c>
      <c r="C85" s="264" t="s">
        <v>4207</v>
      </c>
      <c r="D85" s="264"/>
      <c r="E85" s="273" t="s">
        <v>4208</v>
      </c>
      <c r="F85" s="276"/>
      <c r="G85" s="274" t="str">
        <f>IF(COUNTA(H85:DC85)=0,"",IF(OR(LARGE(H85:DC85,1)&gt;24,SMALL(H85:DC85,1)&lt;0),"ERRO",""))</f>
        <v/>
      </c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</row>
    <row r="86" spans="2:107" ht="15" hidden="1" customHeight="1" x14ac:dyDescent="0.25">
      <c r="B86" s="758"/>
      <c r="C86" s="275" t="s">
        <v>4209</v>
      </c>
      <c r="D86" s="275"/>
      <c r="E86" s="552" t="s">
        <v>4210</v>
      </c>
      <c r="F86" s="276"/>
      <c r="G86" s="274" t="str">
        <f>IF(COUNTA(H86:DC86)=0,"",IF(OR(LARGE(H86:DC86,1)&gt;365,SMALL(H86:DC86,1)&lt;0),"ERRO",""))</f>
        <v/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0"/>
      <c r="DA86" s="240"/>
      <c r="DB86" s="240"/>
      <c r="DC86" s="240"/>
    </row>
    <row r="87" spans="2:107" ht="15" hidden="1" customHeight="1" x14ac:dyDescent="0.25">
      <c r="B87" s="760"/>
      <c r="C87" s="264" t="s">
        <v>4211</v>
      </c>
      <c r="D87" s="264"/>
      <c r="E87" s="265" t="s">
        <v>4212</v>
      </c>
      <c r="F87" s="276" t="s">
        <v>4234</v>
      </c>
      <c r="G87" s="274" t="str">
        <f>IF(COUNTA(H87:DC87)=0,"",IF(OR(LARGE(H87:DC87,1)&gt;8760,SMALL(H87:DC87,1)&lt;0),"ERRO",""))</f>
        <v/>
      </c>
      <c r="H87" s="272">
        <f t="shared" ref="H87:Z87" si="90">H85*H86</f>
        <v>0</v>
      </c>
      <c r="I87" s="272">
        <f t="shared" si="90"/>
        <v>0</v>
      </c>
      <c r="J87" s="272">
        <f t="shared" si="90"/>
        <v>0</v>
      </c>
      <c r="K87" s="272">
        <f t="shared" si="90"/>
        <v>0</v>
      </c>
      <c r="L87" s="272">
        <f t="shared" si="90"/>
        <v>0</v>
      </c>
      <c r="M87" s="272">
        <f t="shared" si="90"/>
        <v>0</v>
      </c>
      <c r="N87" s="272">
        <f t="shared" si="90"/>
        <v>0</v>
      </c>
      <c r="O87" s="272">
        <f t="shared" si="90"/>
        <v>0</v>
      </c>
      <c r="P87" s="272">
        <f t="shared" si="90"/>
        <v>0</v>
      </c>
      <c r="Q87" s="272">
        <f t="shared" si="90"/>
        <v>0</v>
      </c>
      <c r="R87" s="272">
        <f t="shared" si="90"/>
        <v>0</v>
      </c>
      <c r="S87" s="272">
        <f t="shared" si="90"/>
        <v>0</v>
      </c>
      <c r="T87" s="272">
        <f t="shared" si="90"/>
        <v>0</v>
      </c>
      <c r="U87" s="272">
        <f t="shared" si="90"/>
        <v>0</v>
      </c>
      <c r="V87" s="272">
        <f t="shared" si="90"/>
        <v>0</v>
      </c>
      <c r="W87" s="272">
        <f t="shared" si="90"/>
        <v>0</v>
      </c>
      <c r="X87" s="272">
        <f t="shared" si="90"/>
        <v>0</v>
      </c>
      <c r="Y87" s="272">
        <f t="shared" si="90"/>
        <v>0</v>
      </c>
      <c r="Z87" s="272">
        <f t="shared" si="90"/>
        <v>0</v>
      </c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>
        <f>DC85*DC86</f>
        <v>0</v>
      </c>
    </row>
    <row r="88" spans="2:107" ht="15" hidden="1" customHeight="1" x14ac:dyDescent="0.25">
      <c r="B88" s="902">
        <v>46</v>
      </c>
      <c r="C88" s="264" t="s">
        <v>4222</v>
      </c>
      <c r="D88" s="264"/>
      <c r="E88" s="265" t="s">
        <v>3857</v>
      </c>
      <c r="F88" s="276" t="s">
        <v>4238</v>
      </c>
      <c r="G88" s="550">
        <f>SUM(H88:DC88)</f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  <c r="CR88" s="240"/>
      <c r="CS88" s="240"/>
      <c r="CT88" s="240"/>
      <c r="CU88" s="240"/>
      <c r="CV88" s="240"/>
      <c r="CW88" s="240"/>
      <c r="CX88" s="240"/>
      <c r="CY88" s="240"/>
      <c r="CZ88" s="240"/>
      <c r="DA88" s="240"/>
      <c r="DB88" s="240"/>
      <c r="DC88" s="240"/>
    </row>
    <row r="89" spans="2:107" ht="15" hidden="1" customHeight="1" x14ac:dyDescent="0.25">
      <c r="B89" s="760"/>
      <c r="C89" s="264" t="s">
        <v>4224</v>
      </c>
      <c r="D89" s="264"/>
      <c r="E89" s="265"/>
      <c r="F89" s="276" t="s">
        <v>4239</v>
      </c>
      <c r="G89" s="274" t="str">
        <f>IF(COUNTA(H89:DC89)=0,"",IF(OR(LARGE(H89:DC89,1)&gt;1,SMALL(H89:DC89,1)&lt;0),"ERRO",""))</f>
        <v/>
      </c>
      <c r="H89" s="272">
        <f t="shared" ref="H89:Z89" si="91">IF(H81=0,0,H88/H81)</f>
        <v>0</v>
      </c>
      <c r="I89" s="272">
        <f t="shared" si="91"/>
        <v>0</v>
      </c>
      <c r="J89" s="272">
        <f t="shared" si="91"/>
        <v>0</v>
      </c>
      <c r="K89" s="272">
        <f t="shared" si="91"/>
        <v>0</v>
      </c>
      <c r="L89" s="272">
        <f t="shared" si="91"/>
        <v>0</v>
      </c>
      <c r="M89" s="272">
        <f t="shared" si="91"/>
        <v>0</v>
      </c>
      <c r="N89" s="272">
        <f t="shared" si="91"/>
        <v>0</v>
      </c>
      <c r="O89" s="272">
        <f t="shared" si="91"/>
        <v>0</v>
      </c>
      <c r="P89" s="272">
        <f t="shared" si="91"/>
        <v>0</v>
      </c>
      <c r="Q89" s="272">
        <f t="shared" si="91"/>
        <v>0</v>
      </c>
      <c r="R89" s="272">
        <f t="shared" si="91"/>
        <v>0</v>
      </c>
      <c r="S89" s="272">
        <f t="shared" si="91"/>
        <v>0</v>
      </c>
      <c r="T89" s="272">
        <f t="shared" si="91"/>
        <v>0</v>
      </c>
      <c r="U89" s="272">
        <f t="shared" si="91"/>
        <v>0</v>
      </c>
      <c r="V89" s="272">
        <f t="shared" si="91"/>
        <v>0</v>
      </c>
      <c r="W89" s="272">
        <f t="shared" si="91"/>
        <v>0</v>
      </c>
      <c r="X89" s="272">
        <f t="shared" si="91"/>
        <v>0</v>
      </c>
      <c r="Y89" s="272">
        <f t="shared" si="91"/>
        <v>0</v>
      </c>
      <c r="Z89" s="272">
        <f t="shared" si="91"/>
        <v>0</v>
      </c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2"/>
      <c r="CD89" s="272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>
        <f>IF(DC81=0,0,DC88/DC81)</f>
        <v>0</v>
      </c>
    </row>
    <row r="90" spans="2:107" ht="15" hidden="1" customHeight="1" x14ac:dyDescent="0.25">
      <c r="B90" s="259">
        <v>47</v>
      </c>
      <c r="C90" s="264" t="s">
        <v>4226</v>
      </c>
      <c r="D90" s="264"/>
      <c r="E90" s="265" t="s">
        <v>3854</v>
      </c>
      <c r="F90" s="276" t="s">
        <v>4240</v>
      </c>
      <c r="G90" s="271">
        <f>SUM(H90:DC90)</f>
        <v>0</v>
      </c>
      <c r="H90" s="277">
        <f t="shared" ref="H90:Z90" si="92">(H84*H87)/1000</f>
        <v>0</v>
      </c>
      <c r="I90" s="277">
        <f t="shared" si="92"/>
        <v>0</v>
      </c>
      <c r="J90" s="277">
        <f t="shared" si="92"/>
        <v>0</v>
      </c>
      <c r="K90" s="277">
        <f t="shared" si="92"/>
        <v>0</v>
      </c>
      <c r="L90" s="277">
        <f t="shared" si="92"/>
        <v>0</v>
      </c>
      <c r="M90" s="277">
        <f t="shared" si="92"/>
        <v>0</v>
      </c>
      <c r="N90" s="277">
        <f t="shared" si="92"/>
        <v>0</v>
      </c>
      <c r="O90" s="277">
        <f t="shared" si="92"/>
        <v>0</v>
      </c>
      <c r="P90" s="277">
        <f t="shared" si="92"/>
        <v>0</v>
      </c>
      <c r="Q90" s="277">
        <f t="shared" si="92"/>
        <v>0</v>
      </c>
      <c r="R90" s="277">
        <f t="shared" si="92"/>
        <v>0</v>
      </c>
      <c r="S90" s="277">
        <f t="shared" si="92"/>
        <v>0</v>
      </c>
      <c r="T90" s="277">
        <f t="shared" si="92"/>
        <v>0</v>
      </c>
      <c r="U90" s="277">
        <f t="shared" si="92"/>
        <v>0</v>
      </c>
      <c r="V90" s="277">
        <f t="shared" si="92"/>
        <v>0</v>
      </c>
      <c r="W90" s="277">
        <f t="shared" si="92"/>
        <v>0</v>
      </c>
      <c r="X90" s="277">
        <f t="shared" si="92"/>
        <v>0</v>
      </c>
      <c r="Y90" s="277">
        <f t="shared" si="92"/>
        <v>0</v>
      </c>
      <c r="Z90" s="277">
        <f t="shared" si="92"/>
        <v>0</v>
      </c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7"/>
      <c r="DB90" s="277"/>
      <c r="DC90" s="277">
        <f>(DC84*DC87)/1000</f>
        <v>0</v>
      </c>
    </row>
    <row r="91" spans="2:107" ht="15" hidden="1" customHeight="1" x14ac:dyDescent="0.25">
      <c r="B91" s="259">
        <v>48</v>
      </c>
      <c r="C91" s="264" t="s">
        <v>4260</v>
      </c>
      <c r="D91" s="264"/>
      <c r="E91" s="265" t="s">
        <v>3912</v>
      </c>
      <c r="F91" s="276" t="s">
        <v>4267</v>
      </c>
      <c r="G91" s="278">
        <f>IF(OR(G41=0,G90=0),0,(G90-G41)/G41)</f>
        <v>0</v>
      </c>
      <c r="H91" s="279">
        <f t="shared" ref="H91:Z91" si="93">IF(OR(H43=0,H90=0),0,(H90-H43)/H43)</f>
        <v>0</v>
      </c>
      <c r="I91" s="279">
        <f t="shared" si="93"/>
        <v>0</v>
      </c>
      <c r="J91" s="279">
        <f t="shared" si="93"/>
        <v>0</v>
      </c>
      <c r="K91" s="279">
        <f t="shared" si="93"/>
        <v>0</v>
      </c>
      <c r="L91" s="279">
        <f t="shared" si="93"/>
        <v>0</v>
      </c>
      <c r="M91" s="279">
        <f t="shared" si="93"/>
        <v>0</v>
      </c>
      <c r="N91" s="279">
        <f t="shared" si="93"/>
        <v>0</v>
      </c>
      <c r="O91" s="279">
        <f t="shared" si="93"/>
        <v>0</v>
      </c>
      <c r="P91" s="279">
        <f t="shared" si="93"/>
        <v>0</v>
      </c>
      <c r="Q91" s="279">
        <f t="shared" si="93"/>
        <v>0</v>
      </c>
      <c r="R91" s="279">
        <f t="shared" si="93"/>
        <v>0</v>
      </c>
      <c r="S91" s="279">
        <f t="shared" si="93"/>
        <v>0</v>
      </c>
      <c r="T91" s="279">
        <f t="shared" si="93"/>
        <v>0</v>
      </c>
      <c r="U91" s="279">
        <f t="shared" si="93"/>
        <v>0</v>
      </c>
      <c r="V91" s="279">
        <f t="shared" si="93"/>
        <v>0</v>
      </c>
      <c r="W91" s="279">
        <f t="shared" si="93"/>
        <v>0</v>
      </c>
      <c r="X91" s="279">
        <f t="shared" si="93"/>
        <v>0</v>
      </c>
      <c r="Y91" s="279">
        <f t="shared" si="93"/>
        <v>0</v>
      </c>
      <c r="Z91" s="279">
        <f t="shared" si="93"/>
        <v>0</v>
      </c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79"/>
      <c r="BR91" s="279"/>
      <c r="BS91" s="279"/>
      <c r="BT91" s="279"/>
      <c r="BU91" s="279"/>
      <c r="BV91" s="279"/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79"/>
      <c r="CI91" s="279"/>
      <c r="CJ91" s="279"/>
      <c r="CK91" s="279"/>
      <c r="CL91" s="279"/>
      <c r="CM91" s="279"/>
      <c r="CN91" s="279"/>
      <c r="CO91" s="279"/>
      <c r="CP91" s="279"/>
      <c r="CQ91" s="279"/>
      <c r="CR91" s="279"/>
      <c r="CS91" s="279"/>
      <c r="CT91" s="279"/>
      <c r="CU91" s="279"/>
      <c r="CV91" s="279"/>
      <c r="CW91" s="279"/>
      <c r="CX91" s="279"/>
      <c r="CY91" s="279"/>
      <c r="CZ91" s="279"/>
      <c r="DA91" s="279"/>
      <c r="DB91" s="279"/>
      <c r="DC91" s="279">
        <f>IF(OR(DC43=0,DC90=0),0,(DC90-DC43)/DC43)</f>
        <v>0</v>
      </c>
    </row>
    <row r="92" spans="2:107" ht="15" hidden="1" customHeight="1" x14ac:dyDescent="0.25">
      <c r="B92" s="259">
        <v>49</v>
      </c>
      <c r="C92" s="264" t="s">
        <v>4228</v>
      </c>
      <c r="D92" s="264"/>
      <c r="E92" s="265" t="s">
        <v>3857</v>
      </c>
      <c r="F92" s="276" t="s">
        <v>4241</v>
      </c>
      <c r="G92" s="271">
        <f>SUM(H92:DC92)</f>
        <v>0</v>
      </c>
      <c r="H92" s="277">
        <f t="shared" ref="H92:Z92" si="94">H81*H89</f>
        <v>0</v>
      </c>
      <c r="I92" s="277">
        <f t="shared" si="94"/>
        <v>0</v>
      </c>
      <c r="J92" s="277">
        <f t="shared" si="94"/>
        <v>0</v>
      </c>
      <c r="K92" s="277">
        <f t="shared" si="94"/>
        <v>0</v>
      </c>
      <c r="L92" s="277">
        <f t="shared" si="94"/>
        <v>0</v>
      </c>
      <c r="M92" s="277">
        <f t="shared" si="94"/>
        <v>0</v>
      </c>
      <c r="N92" s="277">
        <f t="shared" si="94"/>
        <v>0</v>
      </c>
      <c r="O92" s="277">
        <f t="shared" si="94"/>
        <v>0</v>
      </c>
      <c r="P92" s="277">
        <f t="shared" si="94"/>
        <v>0</v>
      </c>
      <c r="Q92" s="277">
        <f t="shared" si="94"/>
        <v>0</v>
      </c>
      <c r="R92" s="277">
        <f t="shared" si="94"/>
        <v>0</v>
      </c>
      <c r="S92" s="277">
        <f t="shared" si="94"/>
        <v>0</v>
      </c>
      <c r="T92" s="277">
        <f t="shared" si="94"/>
        <v>0</v>
      </c>
      <c r="U92" s="277">
        <f t="shared" si="94"/>
        <v>0</v>
      </c>
      <c r="V92" s="277">
        <f t="shared" si="94"/>
        <v>0</v>
      </c>
      <c r="W92" s="277">
        <f t="shared" si="94"/>
        <v>0</v>
      </c>
      <c r="X92" s="277">
        <f t="shared" si="94"/>
        <v>0</v>
      </c>
      <c r="Y92" s="277">
        <f t="shared" si="94"/>
        <v>0</v>
      </c>
      <c r="Z92" s="277">
        <f t="shared" si="94"/>
        <v>0</v>
      </c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7"/>
      <c r="DB92" s="277"/>
      <c r="DC92" s="277">
        <f>DC81*DC89</f>
        <v>0</v>
      </c>
    </row>
    <row r="93" spans="2:107" ht="15" hidden="1" customHeight="1" x14ac:dyDescent="0.25">
      <c r="B93" s="259">
        <v>50</v>
      </c>
      <c r="C93" s="264" t="s">
        <v>4262</v>
      </c>
      <c r="D93" s="264"/>
      <c r="E93" s="265" t="s">
        <v>3912</v>
      </c>
      <c r="F93" s="276" t="s">
        <v>4268</v>
      </c>
      <c r="G93" s="278">
        <f>IF(OR(G42=0,G92=0),0,(G92-G42)/G42)</f>
        <v>0</v>
      </c>
      <c r="H93" s="279">
        <f t="shared" ref="H93:Z93" si="95">IF(OR(H44=0,H92=0),0,(H92-H44)/H44)</f>
        <v>0</v>
      </c>
      <c r="I93" s="279">
        <f t="shared" si="95"/>
        <v>0</v>
      </c>
      <c r="J93" s="279">
        <f t="shared" si="95"/>
        <v>0</v>
      </c>
      <c r="K93" s="279">
        <f t="shared" si="95"/>
        <v>0</v>
      </c>
      <c r="L93" s="279">
        <f t="shared" si="95"/>
        <v>0</v>
      </c>
      <c r="M93" s="279">
        <f t="shared" si="95"/>
        <v>0</v>
      </c>
      <c r="N93" s="279">
        <f t="shared" si="95"/>
        <v>0</v>
      </c>
      <c r="O93" s="279">
        <f t="shared" si="95"/>
        <v>0</v>
      </c>
      <c r="P93" s="279">
        <f t="shared" si="95"/>
        <v>0</v>
      </c>
      <c r="Q93" s="279">
        <f t="shared" si="95"/>
        <v>0</v>
      </c>
      <c r="R93" s="279">
        <f t="shared" si="95"/>
        <v>0</v>
      </c>
      <c r="S93" s="279">
        <f t="shared" si="95"/>
        <v>0</v>
      </c>
      <c r="T93" s="279">
        <f t="shared" si="95"/>
        <v>0</v>
      </c>
      <c r="U93" s="279">
        <f t="shared" si="95"/>
        <v>0</v>
      </c>
      <c r="V93" s="279">
        <f t="shared" si="95"/>
        <v>0</v>
      </c>
      <c r="W93" s="279">
        <f t="shared" si="95"/>
        <v>0</v>
      </c>
      <c r="X93" s="279">
        <f t="shared" si="95"/>
        <v>0</v>
      </c>
      <c r="Y93" s="279">
        <f t="shared" si="95"/>
        <v>0</v>
      </c>
      <c r="Z93" s="279">
        <f t="shared" si="95"/>
        <v>0</v>
      </c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  <c r="BN93" s="279"/>
      <c r="BO93" s="279"/>
      <c r="BP93" s="279"/>
      <c r="BQ93" s="279"/>
      <c r="BR93" s="279"/>
      <c r="BS93" s="279"/>
      <c r="BT93" s="279"/>
      <c r="BU93" s="279"/>
      <c r="BV93" s="279"/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79"/>
      <c r="CI93" s="279"/>
      <c r="CJ93" s="279"/>
      <c r="CK93" s="279"/>
      <c r="CL93" s="279"/>
      <c r="CM93" s="279"/>
      <c r="CN93" s="279"/>
      <c r="CO93" s="279"/>
      <c r="CP93" s="279"/>
      <c r="CQ93" s="279"/>
      <c r="CR93" s="279"/>
      <c r="CS93" s="279"/>
      <c r="CT93" s="279"/>
      <c r="CU93" s="279"/>
      <c r="CV93" s="279"/>
      <c r="CW93" s="279"/>
      <c r="CX93" s="279"/>
      <c r="CY93" s="279"/>
      <c r="CZ93" s="279"/>
      <c r="DA93" s="279"/>
      <c r="DB93" s="279"/>
      <c r="DC93" s="279">
        <f>IF(OR(DC44=0,DC92=0),0,(DC92-DC44)/DC44)</f>
        <v>0</v>
      </c>
    </row>
    <row r="94" spans="2:107" hidden="1" x14ac:dyDescent="0.25"/>
    <row r="95" spans="2:107" ht="15" hidden="1" customHeight="1" x14ac:dyDescent="0.25">
      <c r="B95" s="858" t="s">
        <v>4723</v>
      </c>
      <c r="C95" s="859"/>
      <c r="D95" s="859"/>
      <c r="E95" s="859"/>
      <c r="F95" s="859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58"/>
    </row>
    <row r="96" spans="2:107" s="103" customFormat="1" ht="15" hidden="1" customHeight="1" x14ac:dyDescent="0.25">
      <c r="B96" s="259"/>
      <c r="C96" s="260"/>
      <c r="D96" s="260"/>
      <c r="E96" s="260"/>
      <c r="F96" s="261"/>
      <c r="G96" s="262" t="s">
        <v>76</v>
      </c>
      <c r="H96" s="263" t="s">
        <v>4606</v>
      </c>
      <c r="I96" s="263" t="s">
        <v>4607</v>
      </c>
      <c r="J96" s="263" t="s">
        <v>4608</v>
      </c>
      <c r="K96" s="263" t="s">
        <v>4609</v>
      </c>
      <c r="L96" s="263" t="s">
        <v>4610</v>
      </c>
      <c r="M96" s="263" t="s">
        <v>4611</v>
      </c>
      <c r="N96" s="263" t="s">
        <v>4612</v>
      </c>
      <c r="O96" s="263" t="s">
        <v>4613</v>
      </c>
      <c r="P96" s="263" t="s">
        <v>4614</v>
      </c>
      <c r="Q96" s="263" t="s">
        <v>4615</v>
      </c>
      <c r="R96" s="263" t="s">
        <v>4616</v>
      </c>
      <c r="S96" s="263" t="s">
        <v>4617</v>
      </c>
      <c r="T96" s="263" t="s">
        <v>4618</v>
      </c>
      <c r="U96" s="263" t="s">
        <v>4619</v>
      </c>
      <c r="V96" s="263" t="s">
        <v>4620</v>
      </c>
      <c r="W96" s="263" t="s">
        <v>4621</v>
      </c>
      <c r="X96" s="263" t="s">
        <v>4622</v>
      </c>
      <c r="Y96" s="263" t="s">
        <v>4623</v>
      </c>
      <c r="Z96" s="263" t="s">
        <v>4624</v>
      </c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263"/>
      <c r="BT96" s="263"/>
      <c r="BU96" s="263"/>
      <c r="BV96" s="263"/>
      <c r="BW96" s="263"/>
      <c r="BX96" s="263"/>
      <c r="BY96" s="263"/>
      <c r="BZ96" s="263"/>
      <c r="CA96" s="263"/>
      <c r="CB96" s="263"/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 t="s">
        <v>4625</v>
      </c>
    </row>
    <row r="97" spans="2:107" ht="15" hidden="1" customHeight="1" x14ac:dyDescent="0.25">
      <c r="B97" s="259">
        <v>51</v>
      </c>
      <c r="C97" s="280" t="s">
        <v>3901</v>
      </c>
      <c r="D97" s="280"/>
      <c r="E97" s="551" t="s">
        <v>3857</v>
      </c>
      <c r="F97" s="276" t="s">
        <v>4243</v>
      </c>
      <c r="G97" s="271">
        <f>SUM(H97:DC97)</f>
        <v>0</v>
      </c>
      <c r="H97" s="272">
        <f t="shared" ref="H97:Z97" si="96">H73-H92</f>
        <v>0</v>
      </c>
      <c r="I97" s="272">
        <f t="shared" si="96"/>
        <v>0</v>
      </c>
      <c r="J97" s="272">
        <f t="shared" si="96"/>
        <v>0</v>
      </c>
      <c r="K97" s="272">
        <f t="shared" si="96"/>
        <v>0</v>
      </c>
      <c r="L97" s="272">
        <f t="shared" si="96"/>
        <v>0</v>
      </c>
      <c r="M97" s="272">
        <f t="shared" si="96"/>
        <v>0</v>
      </c>
      <c r="N97" s="272">
        <f t="shared" si="96"/>
        <v>0</v>
      </c>
      <c r="O97" s="272">
        <f t="shared" si="96"/>
        <v>0</v>
      </c>
      <c r="P97" s="272">
        <f t="shared" si="96"/>
        <v>0</v>
      </c>
      <c r="Q97" s="272">
        <f t="shared" si="96"/>
        <v>0</v>
      </c>
      <c r="R97" s="272">
        <f t="shared" si="96"/>
        <v>0</v>
      </c>
      <c r="S97" s="272">
        <f t="shared" si="96"/>
        <v>0</v>
      </c>
      <c r="T97" s="272">
        <f t="shared" si="96"/>
        <v>0</v>
      </c>
      <c r="U97" s="272">
        <f t="shared" si="96"/>
        <v>0</v>
      </c>
      <c r="V97" s="272">
        <f t="shared" si="96"/>
        <v>0</v>
      </c>
      <c r="W97" s="272">
        <f t="shared" si="96"/>
        <v>0</v>
      </c>
      <c r="X97" s="272">
        <f t="shared" si="96"/>
        <v>0</v>
      </c>
      <c r="Y97" s="272">
        <f t="shared" si="96"/>
        <v>0</v>
      </c>
      <c r="Z97" s="272">
        <f t="shared" si="96"/>
        <v>0</v>
      </c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>
        <f>DC73-DC92</f>
        <v>0</v>
      </c>
    </row>
    <row r="98" spans="2:107" ht="15" hidden="1" customHeight="1" x14ac:dyDescent="0.25">
      <c r="B98" s="259">
        <v>52</v>
      </c>
      <c r="C98" s="281" t="s">
        <v>4244</v>
      </c>
      <c r="D98" s="282">
        <f>D47</f>
        <v>0</v>
      </c>
      <c r="E98" s="552" t="s">
        <v>3912</v>
      </c>
      <c r="F98" s="276" t="s">
        <v>4245</v>
      </c>
      <c r="G98" s="278">
        <f t="shared" ref="G98:Z98" si="97">IF(G73=0,0,G97/G73)</f>
        <v>0</v>
      </c>
      <c r="H98" s="279">
        <f t="shared" si="97"/>
        <v>0</v>
      </c>
      <c r="I98" s="279">
        <f t="shared" si="97"/>
        <v>0</v>
      </c>
      <c r="J98" s="279">
        <f t="shared" si="97"/>
        <v>0</v>
      </c>
      <c r="K98" s="279">
        <f t="shared" si="97"/>
        <v>0</v>
      </c>
      <c r="L98" s="279">
        <f t="shared" si="97"/>
        <v>0</v>
      </c>
      <c r="M98" s="279">
        <f t="shared" si="97"/>
        <v>0</v>
      </c>
      <c r="N98" s="279">
        <f t="shared" si="97"/>
        <v>0</v>
      </c>
      <c r="O98" s="279">
        <f t="shared" si="97"/>
        <v>0</v>
      </c>
      <c r="P98" s="279">
        <f t="shared" si="97"/>
        <v>0</v>
      </c>
      <c r="Q98" s="279">
        <f t="shared" si="97"/>
        <v>0</v>
      </c>
      <c r="R98" s="279">
        <f t="shared" si="97"/>
        <v>0</v>
      </c>
      <c r="S98" s="279">
        <f t="shared" si="97"/>
        <v>0</v>
      </c>
      <c r="T98" s="279">
        <f t="shared" si="97"/>
        <v>0</v>
      </c>
      <c r="U98" s="279">
        <f t="shared" si="97"/>
        <v>0</v>
      </c>
      <c r="V98" s="279">
        <f t="shared" si="97"/>
        <v>0</v>
      </c>
      <c r="W98" s="279">
        <f t="shared" si="97"/>
        <v>0</v>
      </c>
      <c r="X98" s="279">
        <f t="shared" si="97"/>
        <v>0</v>
      </c>
      <c r="Y98" s="279">
        <f t="shared" si="97"/>
        <v>0</v>
      </c>
      <c r="Z98" s="279">
        <f t="shared" si="97"/>
        <v>0</v>
      </c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>
        <f>IF(DC73=0,0,DC97/DC73)</f>
        <v>0</v>
      </c>
    </row>
    <row r="99" spans="2:107" ht="15" hidden="1" customHeight="1" x14ac:dyDescent="0.25">
      <c r="B99" s="259">
        <v>53</v>
      </c>
      <c r="C99" s="280" t="s">
        <v>3900</v>
      </c>
      <c r="D99" s="280"/>
      <c r="E99" s="551" t="s">
        <v>3854</v>
      </c>
      <c r="F99" s="276" t="s">
        <v>4246</v>
      </c>
      <c r="G99" s="271">
        <f>SUM(H99:DC99)</f>
        <v>0</v>
      </c>
      <c r="H99" s="272">
        <f t="shared" ref="H99:Z99" si="98">H71-H90</f>
        <v>0</v>
      </c>
      <c r="I99" s="272">
        <f t="shared" si="98"/>
        <v>0</v>
      </c>
      <c r="J99" s="272">
        <f t="shared" si="98"/>
        <v>0</v>
      </c>
      <c r="K99" s="272">
        <f t="shared" si="98"/>
        <v>0</v>
      </c>
      <c r="L99" s="272">
        <f t="shared" si="98"/>
        <v>0</v>
      </c>
      <c r="M99" s="272">
        <f t="shared" si="98"/>
        <v>0</v>
      </c>
      <c r="N99" s="272">
        <f t="shared" si="98"/>
        <v>0</v>
      </c>
      <c r="O99" s="272">
        <f t="shared" si="98"/>
        <v>0</v>
      </c>
      <c r="P99" s="272">
        <f t="shared" si="98"/>
        <v>0</v>
      </c>
      <c r="Q99" s="272">
        <f t="shared" si="98"/>
        <v>0</v>
      </c>
      <c r="R99" s="272">
        <f t="shared" si="98"/>
        <v>0</v>
      </c>
      <c r="S99" s="272">
        <f t="shared" si="98"/>
        <v>0</v>
      </c>
      <c r="T99" s="272">
        <f t="shared" si="98"/>
        <v>0</v>
      </c>
      <c r="U99" s="272">
        <f t="shared" si="98"/>
        <v>0</v>
      </c>
      <c r="V99" s="272">
        <f t="shared" si="98"/>
        <v>0</v>
      </c>
      <c r="W99" s="272">
        <f t="shared" si="98"/>
        <v>0</v>
      </c>
      <c r="X99" s="272">
        <f t="shared" si="98"/>
        <v>0</v>
      </c>
      <c r="Y99" s="272">
        <f t="shared" si="98"/>
        <v>0</v>
      </c>
      <c r="Z99" s="272">
        <f t="shared" si="98"/>
        <v>0</v>
      </c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72"/>
      <c r="DB99" s="272"/>
      <c r="DC99" s="272">
        <f>DC71-DC90</f>
        <v>0</v>
      </c>
    </row>
    <row r="100" spans="2:107" ht="15" hidden="1" customHeight="1" x14ac:dyDescent="0.25">
      <c r="B100" s="259">
        <v>54</v>
      </c>
      <c r="C100" s="281" t="s">
        <v>4247</v>
      </c>
      <c r="D100" s="282">
        <f>D49</f>
        <v>0</v>
      </c>
      <c r="E100" s="552" t="s">
        <v>3912</v>
      </c>
      <c r="F100" s="276" t="s">
        <v>4248</v>
      </c>
      <c r="G100" s="283">
        <f t="shared" ref="G100:Z100" si="99">IF(G71=0,0,G99/G71)</f>
        <v>0</v>
      </c>
      <c r="H100" s="279">
        <f t="shared" si="99"/>
        <v>0</v>
      </c>
      <c r="I100" s="279">
        <f t="shared" si="99"/>
        <v>0</v>
      </c>
      <c r="J100" s="279">
        <f t="shared" si="99"/>
        <v>0</v>
      </c>
      <c r="K100" s="279">
        <f t="shared" si="99"/>
        <v>0</v>
      </c>
      <c r="L100" s="279">
        <f t="shared" si="99"/>
        <v>0</v>
      </c>
      <c r="M100" s="279">
        <f t="shared" si="99"/>
        <v>0</v>
      </c>
      <c r="N100" s="279">
        <f t="shared" si="99"/>
        <v>0</v>
      </c>
      <c r="O100" s="279">
        <f t="shared" si="99"/>
        <v>0</v>
      </c>
      <c r="P100" s="279">
        <f t="shared" si="99"/>
        <v>0</v>
      </c>
      <c r="Q100" s="279">
        <f t="shared" si="99"/>
        <v>0</v>
      </c>
      <c r="R100" s="279">
        <f t="shared" si="99"/>
        <v>0</v>
      </c>
      <c r="S100" s="279">
        <f t="shared" si="99"/>
        <v>0</v>
      </c>
      <c r="T100" s="279">
        <f t="shared" si="99"/>
        <v>0</v>
      </c>
      <c r="U100" s="279">
        <f t="shared" si="99"/>
        <v>0</v>
      </c>
      <c r="V100" s="279">
        <f t="shared" si="99"/>
        <v>0</v>
      </c>
      <c r="W100" s="279">
        <f t="shared" si="99"/>
        <v>0</v>
      </c>
      <c r="X100" s="279">
        <f t="shared" si="99"/>
        <v>0</v>
      </c>
      <c r="Y100" s="279">
        <f t="shared" si="99"/>
        <v>0</v>
      </c>
      <c r="Z100" s="279">
        <f t="shared" si="99"/>
        <v>0</v>
      </c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  <c r="BN100" s="279"/>
      <c r="BO100" s="279"/>
      <c r="BP100" s="279"/>
      <c r="BQ100" s="279"/>
      <c r="BR100" s="279"/>
      <c r="BS100" s="279"/>
      <c r="BT100" s="279"/>
      <c r="BU100" s="279"/>
      <c r="BV100" s="279"/>
      <c r="BW100" s="279"/>
      <c r="BX100" s="279"/>
      <c r="BY100" s="279"/>
      <c r="BZ100" s="279"/>
      <c r="CA100" s="279"/>
      <c r="CB100" s="279"/>
      <c r="CC100" s="279"/>
      <c r="CD100" s="279"/>
      <c r="CE100" s="279"/>
      <c r="CF100" s="279"/>
      <c r="CG100" s="279"/>
      <c r="CH100" s="279"/>
      <c r="CI100" s="279"/>
      <c r="CJ100" s="279"/>
      <c r="CK100" s="279"/>
      <c r="CL100" s="279"/>
      <c r="CM100" s="279"/>
      <c r="CN100" s="279"/>
      <c r="CO100" s="279"/>
      <c r="CP100" s="279"/>
      <c r="CQ100" s="279"/>
      <c r="CR100" s="279"/>
      <c r="CS100" s="279"/>
      <c r="CT100" s="279"/>
      <c r="CU100" s="279"/>
      <c r="CV100" s="279"/>
      <c r="CW100" s="279"/>
      <c r="CX100" s="279"/>
      <c r="CY100" s="279"/>
      <c r="CZ100" s="279"/>
      <c r="DA100" s="279"/>
      <c r="DB100" s="279"/>
      <c r="DC100" s="279">
        <f>IF(DC71=0,0,DC99/DC71)</f>
        <v>0</v>
      </c>
    </row>
    <row r="101" spans="2:107" ht="15" hidden="1" customHeight="1" x14ac:dyDescent="0.25">
      <c r="B101" s="284"/>
      <c r="C101" s="285" t="s">
        <v>4724</v>
      </c>
      <c r="D101" s="285"/>
      <c r="E101" s="537" t="s">
        <v>3911</v>
      </c>
      <c r="F101" s="286" t="s">
        <v>4716</v>
      </c>
      <c r="G101" s="287">
        <f>SUM(H101:DC101)</f>
        <v>0</v>
      </c>
      <c r="H101" s="288">
        <f t="shared" ref="H101:Z101" si="100">H97*$D$98+H99*$D$100</f>
        <v>0</v>
      </c>
      <c r="I101" s="288">
        <f t="shared" si="100"/>
        <v>0</v>
      </c>
      <c r="J101" s="288">
        <f t="shared" si="100"/>
        <v>0</v>
      </c>
      <c r="K101" s="288">
        <f t="shared" si="100"/>
        <v>0</v>
      </c>
      <c r="L101" s="288">
        <f t="shared" si="100"/>
        <v>0</v>
      </c>
      <c r="M101" s="288">
        <f t="shared" si="100"/>
        <v>0</v>
      </c>
      <c r="N101" s="288">
        <f t="shared" si="100"/>
        <v>0</v>
      </c>
      <c r="O101" s="288">
        <f t="shared" si="100"/>
        <v>0</v>
      </c>
      <c r="P101" s="288">
        <f t="shared" si="100"/>
        <v>0</v>
      </c>
      <c r="Q101" s="288">
        <f t="shared" si="100"/>
        <v>0</v>
      </c>
      <c r="R101" s="288">
        <f t="shared" si="100"/>
        <v>0</v>
      </c>
      <c r="S101" s="288">
        <f t="shared" si="100"/>
        <v>0</v>
      </c>
      <c r="T101" s="288">
        <f t="shared" si="100"/>
        <v>0</v>
      </c>
      <c r="U101" s="288">
        <f t="shared" si="100"/>
        <v>0</v>
      </c>
      <c r="V101" s="288">
        <f t="shared" si="100"/>
        <v>0</v>
      </c>
      <c r="W101" s="288">
        <f t="shared" si="100"/>
        <v>0</v>
      </c>
      <c r="X101" s="288">
        <f t="shared" si="100"/>
        <v>0</v>
      </c>
      <c r="Y101" s="288">
        <f t="shared" si="100"/>
        <v>0</v>
      </c>
      <c r="Z101" s="288">
        <f t="shared" si="100"/>
        <v>0</v>
      </c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8"/>
      <c r="CI101" s="288"/>
      <c r="CJ101" s="288"/>
      <c r="CK101" s="288"/>
      <c r="CL101" s="288"/>
      <c r="CM101" s="288"/>
      <c r="CN101" s="288"/>
      <c r="CO101" s="288"/>
      <c r="CP101" s="288"/>
      <c r="CQ101" s="288"/>
      <c r="CR101" s="288"/>
      <c r="CS101" s="288"/>
      <c r="CT101" s="288"/>
      <c r="CU101" s="288"/>
      <c r="CV101" s="288"/>
      <c r="CW101" s="288"/>
      <c r="CX101" s="288"/>
      <c r="CY101" s="288"/>
      <c r="CZ101" s="288"/>
      <c r="DA101" s="288"/>
      <c r="DB101" s="288"/>
      <c r="DC101" s="288">
        <f>DC97*$D$98+DC99*$D$100</f>
        <v>0</v>
      </c>
    </row>
    <row r="102" spans="2:107" ht="15" hidden="1" customHeight="1" x14ac:dyDescent="0.25">
      <c r="H102" s="289"/>
      <c r="I102" s="289"/>
    </row>
    <row r="103" spans="2:107" ht="15" hidden="1" customHeight="1" x14ac:dyDescent="0.35">
      <c r="E103" s="213" t="s">
        <v>4595</v>
      </c>
      <c r="F103" s="214"/>
      <c r="G103" s="215">
        <f>RCB!$G$31</f>
        <v>0</v>
      </c>
      <c r="H103" s="289"/>
      <c r="I103" s="213" t="s">
        <v>4596</v>
      </c>
      <c r="J103" s="214"/>
      <c r="K103" s="215">
        <f>RCB!$J$31</f>
        <v>0</v>
      </c>
    </row>
    <row r="104" spans="2:107" ht="15" hidden="1" customHeight="1" x14ac:dyDescent="0.35">
      <c r="E104" s="213" t="s">
        <v>4074</v>
      </c>
      <c r="F104" s="214"/>
      <c r="G104" s="215">
        <f>RCB!$H$30</f>
        <v>0</v>
      </c>
      <c r="H104" s="289"/>
      <c r="I104" s="213" t="s">
        <v>4075</v>
      </c>
      <c r="J104" s="214"/>
      <c r="K104" s="215">
        <f>RCB!$K$30</f>
        <v>0</v>
      </c>
    </row>
    <row r="105" spans="2:107" ht="15" hidden="1" customHeight="1" x14ac:dyDescent="0.25">
      <c r="H105" s="289"/>
      <c r="I105" s="289"/>
    </row>
    <row r="106" spans="2:107" hidden="1" x14ac:dyDescent="0.25"/>
  </sheetData>
  <sheetProtection algorithmName="SHA-512" hashValue="+/NMo0+ZoquQdJGVce7cKuaPrRzY+qgpTF1LfMq/VLsEx1sv+Ow5fdJTqZqmD9vJ5gLz7/yQ4bua58fsHg3PrA==" saltValue="rLmHFKGhD22cXXh0B/SbCw==" spinCount="100000" sheet="1" objects="1" scenarios="1"/>
  <mergeCells count="20">
    <mergeCell ref="B95:F95"/>
    <mergeCell ref="B66:B68"/>
    <mergeCell ref="B69:B70"/>
    <mergeCell ref="B85:B87"/>
    <mergeCell ref="B88:B89"/>
    <mergeCell ref="B80:B81"/>
    <mergeCell ref="B82:B84"/>
    <mergeCell ref="B76:F76"/>
    <mergeCell ref="B2:F2"/>
    <mergeCell ref="B12:B14"/>
    <mergeCell ref="B15:B19"/>
    <mergeCell ref="B23:F23"/>
    <mergeCell ref="B33:B35"/>
    <mergeCell ref="B61:B62"/>
    <mergeCell ref="B63:B65"/>
    <mergeCell ref="B36:B40"/>
    <mergeCell ref="B44:F44"/>
    <mergeCell ref="B10:B11"/>
    <mergeCell ref="B31:B32"/>
    <mergeCell ref="B57:F57"/>
  </mergeCells>
  <phoneticPr fontId="22" type="noConversion"/>
  <conditionalFormatting sqref="G5:G21 G26:G42 G59:G74 G78:G93 G97:G101">
    <cfRule type="expression" dxfId="37" priority="16">
      <formula>G5="ERRO"</formula>
    </cfRule>
  </conditionalFormatting>
  <conditionalFormatting sqref="G46:G52">
    <cfRule type="expression" dxfId="36" priority="1">
      <formula>G46="ERRO"</formula>
    </cfRule>
  </conditionalFormatting>
  <conditionalFormatting sqref="H10:DC10 H19:DC19 H31:DC31 H40:DC40 H70:DC70 H89:DC89">
    <cfRule type="expression" dxfId="35" priority="17">
      <formula>OR(H10&gt;1,H10&lt;0)</formula>
    </cfRule>
  </conditionalFormatting>
  <conditionalFormatting sqref="H12:DC13 H66:DC67 H85:DC86">
    <cfRule type="expression" dxfId="34" priority="19">
      <formula>OR(H12&gt;365,H12&lt;0)</formula>
    </cfRule>
  </conditionalFormatting>
  <conditionalFormatting sqref="H14:DC14 H35:DC35 H68:DC68 H87:DC87">
    <cfRule type="expression" dxfId="33" priority="18">
      <formula>OR(H14&gt;8760,H14&lt;0)</formula>
    </cfRule>
  </conditionalFormatting>
  <conditionalFormatting sqref="H15:DC16">
    <cfRule type="expression" dxfId="32" priority="4">
      <formula>OR(H15&gt;22,H15&lt;0)</formula>
    </cfRule>
  </conditionalFormatting>
  <conditionalFormatting sqref="H17:DC17">
    <cfRule type="expression" dxfId="31" priority="3">
      <formula>OR(H17&gt;12,H17&lt;0)</formula>
    </cfRule>
  </conditionalFormatting>
  <conditionalFormatting sqref="H33:DC34">
    <cfRule type="expression" dxfId="30" priority="22">
      <formula>OR(H33&gt;365,H33&lt;0)</formula>
    </cfRule>
  </conditionalFormatting>
  <conditionalFormatting sqref="H36:DC38">
    <cfRule type="expression" dxfId="29" priority="5">
      <formula>OR(H36&gt;22,H36&lt;0)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1:F11 A48 A47 E47:F47 A53:F97 A49 E49:F49 A99:F99 A98:C98 E98:F98 A100:C100 E100:F100 DC53:IV65536 A50:F50 DC1:IV1 N15:Z17 H26:Z26 N12:Z13 H14:Z14 H39:Z41 H53:Z100 H11:Z11 A101:Z65536 DD26:IV50 DD2:IV3 A1:Z3 C5:G5 A5:A10 C10:F10 A13:F14 A12 C12:F12 A16:F19 A15 C15:F15 A32:F32 A20:A21 C20:F21 A22:F24 DD5:IV24 H18:Z24 A26 C26:F26 A27 C27:F27 A28 C28:F28 A29 C29:F29 A30 C30:F30 A31 C31:F31 A34:F35 A33 C33:F33 A37:F40 A36 C36:F36 A43:F45 A41 C41:F41 A42 C42:F42 A46 C46:F46 C47 C48:F48 C49 C9:Z9 C7:G7 I7:Z7 H30:Z30 I28:Z28 I29:Z29 H25:DC25 C6:G6 I6:Z6 C8:G8 I8:Z8 I10:Z10 I27:Z27 H32:Z32 I31:Z31 H47:Z50 I46:Z46 H43:Z45 I42:Z42 I5:Z5 H33:DC34 H36:DC38" unlockedFormula="1"/>
    <ignoredError sqref="G53:G100 G26:G45 G47 G49 G10:G24 H35:Z35" formula="1" unlockedFormula="1"/>
    <ignoredError sqref="AA35:BH3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2"/>
  <dimension ref="B2:Z123"/>
  <sheetViews>
    <sheetView zoomScale="160" zoomScaleNormal="160" workbookViewId="0">
      <selection activeCell="H7" sqref="H7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1" width="18.85546875" style="52" bestFit="1" customWidth="1"/>
    <col min="12" max="12" width="20.710937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12.57031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9.2851562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4005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SISTEMAS DE REFRIGERAÇÃO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27"/>
      <c r="D6" s="828"/>
      <c r="E6" s="828"/>
      <c r="F6" s="828"/>
      <c r="G6" s="828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27"/>
      <c r="D7" s="828"/>
      <c r="E7" s="828"/>
      <c r="F7" s="828"/>
      <c r="G7" s="828"/>
      <c r="H7" s="18"/>
      <c r="I7" s="2"/>
      <c r="J7" s="1"/>
      <c r="K7" s="143">
        <f t="shared" ref="K7:K25" si="0">N7-L7-M7</f>
        <v>0</v>
      </c>
      <c r="L7" s="1"/>
      <c r="M7" s="1"/>
      <c r="N7" s="143">
        <f t="shared" ref="N7:N25" si="1">I7*J7</f>
        <v>0</v>
      </c>
      <c r="P7" s="168">
        <f t="shared" ref="P7:P25" si="2">B7</f>
        <v>2</v>
      </c>
      <c r="Q7" s="834" t="str">
        <f t="shared" ref="Q7:Q25" si="3">IF(OR(C7=0,C7=""),"",C7)</f>
        <v/>
      </c>
      <c r="R7" s="834"/>
      <c r="S7" s="834"/>
      <c r="T7" s="834"/>
      <c r="U7" s="835"/>
      <c r="V7" s="171" t="str">
        <f t="shared" ref="V7:V25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27"/>
      <c r="D8" s="828"/>
      <c r="E8" s="828"/>
      <c r="F8" s="828"/>
      <c r="G8" s="828"/>
      <c r="H8" s="18"/>
      <c r="I8" s="2"/>
      <c r="J8" s="1"/>
      <c r="K8" s="143">
        <f t="shared" si="0"/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 t="shared" si="3"/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27"/>
      <c r="D9" s="828"/>
      <c r="E9" s="828"/>
      <c r="F9" s="828"/>
      <c r="G9" s="828"/>
      <c r="H9" s="18"/>
      <c r="I9" s="2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3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27"/>
      <c r="D10" s="828"/>
      <c r="E10" s="828"/>
      <c r="F10" s="828"/>
      <c r="G10" s="828"/>
      <c r="H10" s="18"/>
      <c r="I10" s="2"/>
      <c r="J10" s="1"/>
      <c r="K10" s="143">
        <f t="shared" si="0"/>
        <v>0</v>
      </c>
      <c r="L10" s="1"/>
      <c r="M10" s="1"/>
      <c r="N10" s="143">
        <f t="shared" si="1"/>
        <v>0</v>
      </c>
      <c r="P10" s="168">
        <f t="shared" si="2"/>
        <v>5</v>
      </c>
      <c r="Q10" s="834" t="str">
        <f t="shared" si="3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27"/>
      <c r="D11" s="828"/>
      <c r="E11" s="828"/>
      <c r="F11" s="828"/>
      <c r="G11" s="828"/>
      <c r="H11" s="18"/>
      <c r="I11" s="2"/>
      <c r="J11" s="1"/>
      <c r="K11" s="143">
        <f t="shared" si="0"/>
        <v>0</v>
      </c>
      <c r="L11" s="1"/>
      <c r="M11" s="1"/>
      <c r="N11" s="143">
        <f t="shared" si="1"/>
        <v>0</v>
      </c>
      <c r="P11" s="168">
        <f t="shared" si="2"/>
        <v>6</v>
      </c>
      <c r="Q11" s="834" t="str">
        <f t="shared" si="3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27"/>
      <c r="D12" s="828"/>
      <c r="E12" s="828"/>
      <c r="F12" s="828"/>
      <c r="G12" s="828"/>
      <c r="H12" s="18"/>
      <c r="I12" s="2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3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27"/>
      <c r="D13" s="828"/>
      <c r="E13" s="828"/>
      <c r="F13" s="828"/>
      <c r="G13" s="828"/>
      <c r="H13" s="18"/>
      <c r="I13" s="2"/>
      <c r="J13" s="1"/>
      <c r="K13" s="143">
        <f t="shared" si="0"/>
        <v>0</v>
      </c>
      <c r="L13" s="1"/>
      <c r="M13" s="1"/>
      <c r="N13" s="143">
        <f t="shared" si="1"/>
        <v>0</v>
      </c>
      <c r="P13" s="168">
        <f t="shared" si="2"/>
        <v>8</v>
      </c>
      <c r="Q13" s="834" t="str">
        <f t="shared" si="3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27"/>
      <c r="D14" s="828"/>
      <c r="E14" s="828"/>
      <c r="F14" s="828"/>
      <c r="G14" s="828"/>
      <c r="H14" s="18"/>
      <c r="I14" s="2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3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27"/>
      <c r="D15" s="828"/>
      <c r="E15" s="828"/>
      <c r="F15" s="828"/>
      <c r="G15" s="828"/>
      <c r="H15" s="18"/>
      <c r="I15" s="2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3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27"/>
      <c r="D16" s="828"/>
      <c r="E16" s="828"/>
      <c r="F16" s="828"/>
      <c r="G16" s="828"/>
      <c r="H16" s="18"/>
      <c r="I16" s="2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3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27"/>
      <c r="D17" s="828"/>
      <c r="E17" s="828"/>
      <c r="F17" s="828"/>
      <c r="G17" s="828"/>
      <c r="H17" s="18"/>
      <c r="I17" s="2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3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27"/>
      <c r="D18" s="828"/>
      <c r="E18" s="828"/>
      <c r="F18" s="828"/>
      <c r="G18" s="828"/>
      <c r="H18" s="18"/>
      <c r="I18" s="2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3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27"/>
      <c r="D19" s="828"/>
      <c r="E19" s="828"/>
      <c r="F19" s="828"/>
      <c r="G19" s="828"/>
      <c r="H19" s="18"/>
      <c r="I19" s="2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3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27"/>
      <c r="D20" s="828"/>
      <c r="E20" s="828"/>
      <c r="F20" s="828"/>
      <c r="G20" s="828"/>
      <c r="H20" s="18"/>
      <c r="I20" s="2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3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27"/>
      <c r="D21" s="828"/>
      <c r="E21" s="828"/>
      <c r="F21" s="828"/>
      <c r="G21" s="828"/>
      <c r="H21" s="18"/>
      <c r="I21" s="2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3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27"/>
      <c r="D22" s="828"/>
      <c r="E22" s="828"/>
      <c r="F22" s="828"/>
      <c r="G22" s="828"/>
      <c r="H22" s="18"/>
      <c r="I22" s="2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3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27"/>
      <c r="D23" s="828"/>
      <c r="E23" s="828"/>
      <c r="F23" s="828"/>
      <c r="G23" s="828"/>
      <c r="H23" s="18"/>
      <c r="I23" s="2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3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27"/>
      <c r="D24" s="828"/>
      <c r="E24" s="828"/>
      <c r="F24" s="828"/>
      <c r="G24" s="828"/>
      <c r="H24" s="18"/>
      <c r="I24" s="2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3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27"/>
      <c r="D25" s="828"/>
      <c r="E25" s="828"/>
      <c r="F25" s="828"/>
      <c r="G25" s="828"/>
      <c r="H25" s="18"/>
      <c r="I25" s="2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3"/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4725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4726</v>
      </c>
      <c r="Q27" s="884"/>
      <c r="R27" s="884"/>
      <c r="S27" s="884"/>
      <c r="T27" s="884"/>
      <c r="U27" s="884"/>
      <c r="V27" s="885"/>
      <c r="W27" s="182" t="s">
        <v>4727</v>
      </c>
      <c r="X27" s="183">
        <f>SUM(X6:X26)</f>
        <v>0</v>
      </c>
      <c r="Y27" s="183">
        <f>SUM(Y6:Y26)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4728</v>
      </c>
      <c r="Q29" s="190"/>
      <c r="R29" s="191">
        <f>RCB!$G$10</f>
        <v>0</v>
      </c>
      <c r="T29" s="189" t="s">
        <v>4729</v>
      </c>
      <c r="U29" s="190"/>
      <c r="V29" s="191">
        <f>RCB!$J$10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 t="shared" ref="K31:K37" si="5">N31-L31-M31</f>
        <v>0</v>
      </c>
      <c r="L31" s="143">
        <v>0</v>
      </c>
      <c r="M31" s="143">
        <v>0</v>
      </c>
      <c r="N31" s="143">
        <f t="shared" ref="N31:N37" si="6"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si="5"/>
        <v>0</v>
      </c>
      <c r="L32" s="143">
        <v>0</v>
      </c>
      <c r="M32" s="143">
        <v>0</v>
      </c>
      <c r="N32" s="143">
        <f t="shared" si="6"/>
        <v>0</v>
      </c>
    </row>
    <row r="33" spans="2:16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 t="shared" si="6"/>
        <v>0</v>
      </c>
    </row>
    <row r="34" spans="2:16" ht="15" customHeight="1" x14ac:dyDescent="0.25">
      <c r="B34" s="175">
        <v>4</v>
      </c>
      <c r="C34" s="876"/>
      <c r="D34" s="876"/>
      <c r="E34" s="876"/>
      <c r="F34" s="876"/>
      <c r="G34" s="827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6" ht="15" customHeight="1" x14ac:dyDescent="0.25">
      <c r="B35" s="168">
        <v>5</v>
      </c>
      <c r="C35" s="876"/>
      <c r="D35" s="876"/>
      <c r="E35" s="876"/>
      <c r="F35" s="876"/>
      <c r="G35" s="827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6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6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16" ht="15" customHeight="1" x14ac:dyDescent="0.25">
      <c r="B38" s="195"/>
      <c r="C38" s="877" t="s">
        <v>4730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6" ht="15" customHeight="1" x14ac:dyDescent="0.25">
      <c r="B39" s="180"/>
      <c r="C39" s="844" t="s">
        <v>4731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16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6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6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16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6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16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16" ht="15" customHeight="1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v>0</v>
      </c>
      <c r="M46" s="143">
        <v>0</v>
      </c>
      <c r="N46" s="143">
        <f>SUM(N43:N45)</f>
        <v>0</v>
      </c>
    </row>
    <row r="47" spans="2:16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Descarte!K54</f>
        <v>0</v>
      </c>
      <c r="L47" s="143">
        <v>0</v>
      </c>
      <c r="M47" s="143">
        <v>0</v>
      </c>
      <c r="N47" s="143">
        <f>Descarte!L54</f>
        <v>0</v>
      </c>
    </row>
    <row r="48" spans="2:16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'M&amp;V'!M255</f>
        <v>0</v>
      </c>
      <c r="L48" s="143">
        <v>0</v>
      </c>
      <c r="M48" s="143">
        <v>0</v>
      </c>
      <c r="N48" s="143">
        <f>'M&amp;V'!N255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v>0</v>
      </c>
      <c r="M53" s="143">
        <v>0</v>
      </c>
      <c r="N53" s="143">
        <f>SUM(N50:N52)</f>
        <v>0</v>
      </c>
    </row>
    <row r="54" spans="2:25" ht="15" customHeight="1" x14ac:dyDescent="0.25">
      <c r="B54" s="197"/>
      <c r="C54" s="895" t="s">
        <v>4732</v>
      </c>
      <c r="D54" s="895"/>
      <c r="E54" s="895"/>
      <c r="F54" s="895"/>
      <c r="G54" s="895"/>
      <c r="H54" s="895"/>
      <c r="I54" s="895"/>
      <c r="J54" s="896"/>
      <c r="K54" s="148">
        <f>SUM(K53,K46:K48)</f>
        <v>0</v>
      </c>
      <c r="L54" s="148">
        <f>SUM(L53,L46:L48)</f>
        <v>0</v>
      </c>
      <c r="M54" s="148">
        <f>SUM(M53,M46:M48)</f>
        <v>0</v>
      </c>
      <c r="N54" s="148">
        <f>SUM(N53,N46:N48)</f>
        <v>0</v>
      </c>
    </row>
    <row r="55" spans="2:25" ht="15" customHeight="1" x14ac:dyDescent="0.25">
      <c r="B55" s="198"/>
      <c r="C55" s="823" t="s">
        <v>4733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4033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SISTEMAS DE REFRIGERAÇÃO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>
        <f>IF(AND(K61&gt;0,[1]CustoContabil!$F$31&gt;0),K61*([1]CustoContabil!$F$45/[1]CustoContabil!$F$31)*W61,0)</f>
        <v>0</v>
      </c>
      <c r="Y61" s="204">
        <f>IF(AND(N61&gt;0,[1]CustoContabil!$D$31&gt;0),N61*([1]CustoContabil!$D$45/[1]CustoContabil!$D$31)*W61,0)</f>
        <v>0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7">N62-L62-M62</f>
        <v>0</v>
      </c>
      <c r="L62" s="142"/>
      <c r="M62" s="142"/>
      <c r="N62" s="158">
        <f t="shared" ref="N62:N81" si="8">I62*J62</f>
        <v>0</v>
      </c>
      <c r="P62" s="201">
        <f t="shared" ref="P62:P80" si="9">B62</f>
        <v>2</v>
      </c>
      <c r="Q62" s="866" t="str">
        <f t="shared" ref="Q62:Q81" si="10">IF(OR(C62=0,C62=""),"",C62)</f>
        <v/>
      </c>
      <c r="R62" s="866"/>
      <c r="S62" s="866"/>
      <c r="T62" s="866"/>
      <c r="U62" s="867"/>
      <c r="V62" s="202" t="str">
        <f t="shared" ref="V62:V81" si="11">IF(N62=0,"",H62)</f>
        <v/>
      </c>
      <c r="W62" s="203">
        <f>IF(OR(V62="",V62=0),0,(Projeto!$AD$8*((1+Projeto!$AD$8)^V62))/(((1+Projeto!$AD$8)^V62)-1))</f>
        <v>0</v>
      </c>
      <c r="X62" s="204">
        <f>IF(AND(K62&gt;0,[1]CustoContabil!$F$31&gt;0),K62*([1]CustoContabil!$F$45/[1]CustoContabil!$F$31)*W62,0)</f>
        <v>0</v>
      </c>
      <c r="Y62" s="204">
        <f>IF(AND(N62&gt;0,[1]CustoContabil!$D$31&gt;0),N62*([1]CustoContabil!$D$45/[1]CustoContabil!$D$31)*W62,0)</f>
        <v>0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IF(OR(V63="",V63=0),0,(Projeto!$AD$8*((1+Projeto!$AD$8)^V63))/(((1+Projeto!$AD$8)^V63)-1))</f>
        <v>0</v>
      </c>
      <c r="X63" s="204">
        <f>IF(AND(K63&gt;0,[1]CustoContabil!$F$31&gt;0),K63*([1]CustoContabil!$F$45/[1]CustoContabil!$F$31)*W63,0)</f>
        <v>0</v>
      </c>
      <c r="Y63" s="204">
        <f>IF(AND(N63&gt;0,[1]CustoContabil!$D$31&gt;0),N63*([1]CustoContabil!$D$45/[1]CustoContabil!$D$31)*W63,0)</f>
        <v>0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IF(OR(V64="",V64=0),0,(Projeto!$AD$8*((1+Projeto!$AD$8)^V64))/(((1+Projeto!$AD$8)^V64)-1))</f>
        <v>0</v>
      </c>
      <c r="X64" s="204">
        <f>IF(AND(K64&gt;0,[1]CustoContabil!$F$31&gt;0),K64*([1]CustoContabil!$F$45/[1]CustoContabil!$F$31)*W64,0)</f>
        <v>0</v>
      </c>
      <c r="Y64" s="204">
        <f>IF(AND(N64&gt;0,[1]CustoContabil!$D$31&gt;0),N64*([1]CustoContabil!$D$45/[1]CustoContabil!$D$31)*W64,0)</f>
        <v>0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IF(OR(V65="",V65=0),0,(Projeto!$AD$8*((1+Projeto!$AD$8)^V65))/(((1+Projeto!$AD$8)^V65)-1))</f>
        <v>0</v>
      </c>
      <c r="X65" s="204">
        <f>IF(AND(K65&gt;0,[1]CustoContabil!$F$31&gt;0),K65*([1]CustoContabil!$F$45/[1]CustoContabil!$F$31)*W65,0)</f>
        <v>0</v>
      </c>
      <c r="Y65" s="204">
        <f>IF(AND(N65&gt;0,[1]CustoContabil!$D$31&gt;0),N65*([1]CustoContabil!$D$45/[1]CustoContabil!$D$31)*W65,0)</f>
        <v>0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IF(OR(V66="",V66=0),0,(Projeto!$AD$8*((1+Projeto!$AD$8)^V66))/(((1+Projeto!$AD$8)^V66)-1))</f>
        <v>0</v>
      </c>
      <c r="X66" s="204">
        <f>IF(AND(K66&gt;0,[1]CustoContabil!$F$31&gt;0),K66*([1]CustoContabil!$F$45/[1]CustoContabil!$F$31)*W66,0)</f>
        <v>0</v>
      </c>
      <c r="Y66" s="204">
        <f>IF(AND(N66&gt;0,[1]CustoContabil!$D$31&gt;0),N66*([1]CustoContabil!$D$45/[1]CustoContabil!$D$31)*W66,0)</f>
        <v>0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IF(OR(V67="",V67=0),0,(Projeto!$AD$8*((1+Projeto!$AD$8)^V67))/(((1+Projeto!$AD$8)^V67)-1))</f>
        <v>0</v>
      </c>
      <c r="X67" s="204">
        <f>IF(AND(K67&gt;0,[1]CustoContabil!$F$31&gt;0),K67*([1]CustoContabil!$F$45/[1]CustoContabil!$F$31)*W67,0)</f>
        <v>0</v>
      </c>
      <c r="Y67" s="204">
        <f>IF(AND(N67&gt;0,[1]CustoContabil!$D$31&gt;0),N67*([1]CustoContabil!$D$45/[1]CustoContabil!$D$31)*W67,0)</f>
        <v>0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IF(OR(V68="",V68=0),0,(Projeto!$AD$8*((1+Projeto!$AD$8)^V68))/(((1+Projeto!$AD$8)^V68)-1))</f>
        <v>0</v>
      </c>
      <c r="X68" s="204">
        <f>IF(AND(K68&gt;0,[1]CustoContabil!$F$31&gt;0),K68*([1]CustoContabil!$F$45/[1]CustoContabil!$F$31)*W68,0)</f>
        <v>0</v>
      </c>
      <c r="Y68" s="204">
        <f>IF(AND(N68&gt;0,[1]CustoContabil!$D$31&gt;0),N68*([1]CustoContabil!$D$45/[1]CustoContabil!$D$31)*W68,0)</f>
        <v>0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IF(OR(V69="",V69=0),0,(Projeto!$AD$8*((1+Projeto!$AD$8)^V69))/(((1+Projeto!$AD$8)^V69)-1))</f>
        <v>0</v>
      </c>
      <c r="X69" s="204">
        <f>IF(AND(K69&gt;0,[1]CustoContabil!$F$31&gt;0),K69*([1]CustoContabil!$F$45/[1]CustoContabil!$F$31)*W69,0)</f>
        <v>0</v>
      </c>
      <c r="Y69" s="204">
        <f>IF(AND(N69&gt;0,[1]CustoContabil!$D$31&gt;0),N69*([1]CustoContabil!$D$45/[1]CustoContabil!$D$31)*W69,0)</f>
        <v>0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IF(OR(V70="",V70=0),0,(Projeto!$AD$8*((1+Projeto!$AD$8)^V70))/(((1+Projeto!$AD$8)^V70)-1))</f>
        <v>0</v>
      </c>
      <c r="X70" s="204">
        <f>IF(AND(K70&gt;0,[1]CustoContabil!$F$31&gt;0),K70*([1]CustoContabil!$F$45/[1]CustoContabil!$F$31)*W70,0)</f>
        <v>0</v>
      </c>
      <c r="Y70" s="204">
        <f>IF(AND(N70&gt;0,[1]CustoContabil!$D$31&gt;0),N70*([1]CustoContabil!$D$45/[1]CustoContabil!$D$31)*W70,0)</f>
        <v>0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IF(OR(V71="",V71=0),0,(Projeto!$AD$8*((1+Projeto!$AD$8)^V71))/(((1+Projeto!$AD$8)^V71)-1))</f>
        <v>0</v>
      </c>
      <c r="X71" s="204">
        <f>IF(AND(K71&gt;0,[1]CustoContabil!$F$31&gt;0),K71*([1]CustoContabil!$F$45/[1]CustoContabil!$F$31)*W71,0)</f>
        <v>0</v>
      </c>
      <c r="Y71" s="204">
        <f>IF(AND(N71&gt;0,[1]CustoContabil!$D$31&gt;0),N71*([1]CustoContabil!$D$45/[1]CustoContabil!$D$31)*W71,0)</f>
        <v>0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IF(OR(V72="",V72=0),0,(Projeto!$AD$8*((1+Projeto!$AD$8)^V72))/(((1+Projeto!$AD$8)^V72)-1))</f>
        <v>0</v>
      </c>
      <c r="X72" s="204">
        <f>IF(AND(K72&gt;0,[1]CustoContabil!$F$31&gt;0),K72*([1]CustoContabil!$F$45/[1]CustoContabil!$F$31)*W72,0)</f>
        <v>0</v>
      </c>
      <c r="Y72" s="204">
        <f>IF(AND(N72&gt;0,[1]CustoContabil!$D$31&gt;0),N72*([1]CustoContabil!$D$45/[1]CustoContabil!$D$31)*W72,0)</f>
        <v>0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IF(OR(V73="",V73=0),0,(Projeto!$AD$8*((1+Projeto!$AD$8)^V73))/(((1+Projeto!$AD$8)^V73)-1))</f>
        <v>0</v>
      </c>
      <c r="X73" s="204">
        <f>IF(AND(K73&gt;0,[1]CustoContabil!$F$31&gt;0),K73*([1]CustoContabil!$F$45/[1]CustoContabil!$F$31)*W73,0)</f>
        <v>0</v>
      </c>
      <c r="Y73" s="204">
        <f>IF(AND(N73&gt;0,[1]CustoContabil!$D$31&gt;0),N73*([1]CustoContabil!$D$45/[1]CustoContabil!$D$31)*W73,0)</f>
        <v>0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IF(OR(V74="",V74=0),0,(Projeto!$AD$8*((1+Projeto!$AD$8)^V74))/(((1+Projeto!$AD$8)^V74)-1))</f>
        <v>0</v>
      </c>
      <c r="X74" s="204">
        <f>IF(AND(K74&gt;0,[1]CustoContabil!$F$31&gt;0),K74*([1]CustoContabil!$F$45/[1]CustoContabil!$F$31)*W74,0)</f>
        <v>0</v>
      </c>
      <c r="Y74" s="204">
        <f>IF(AND(N74&gt;0,[1]CustoContabil!$D$31&gt;0),N74*([1]CustoContabil!$D$45/[1]CustoContabil!$D$31)*W74,0)</f>
        <v>0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IF(OR(V75="",V75=0),0,(Projeto!$AD$8*((1+Projeto!$AD$8)^V75))/(((1+Projeto!$AD$8)^V75)-1))</f>
        <v>0</v>
      </c>
      <c r="X75" s="204">
        <f>IF(AND(K75&gt;0,[1]CustoContabil!$F$31&gt;0),K75*([1]CustoContabil!$F$45/[1]CustoContabil!$F$31)*W75,0)</f>
        <v>0</v>
      </c>
      <c r="Y75" s="204">
        <f>IF(AND(N75&gt;0,[1]CustoContabil!$D$31&gt;0),N75*([1]CustoContabil!$D$45/[1]CustoContabil!$D$31)*W75,0)</f>
        <v>0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IF(OR(V76="",V76=0),0,(Projeto!$AD$8*((1+Projeto!$AD$8)^V76))/(((1+Projeto!$AD$8)^V76)-1))</f>
        <v>0</v>
      </c>
      <c r="X76" s="204">
        <f>IF(AND(K76&gt;0,[1]CustoContabil!$F$31&gt;0),K76*([1]CustoContabil!$F$45/[1]CustoContabil!$F$31)*W76,0)</f>
        <v>0</v>
      </c>
      <c r="Y76" s="204">
        <f>IF(AND(N76&gt;0,[1]CustoContabil!$D$31&gt;0),N76*([1]CustoContabil!$D$45/[1]CustoContabil!$D$31)*W76,0)</f>
        <v>0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IF(OR(V77="",V77=0),0,(Projeto!$AD$8*((1+Projeto!$AD$8)^V77))/(((1+Projeto!$AD$8)^V77)-1))</f>
        <v>0</v>
      </c>
      <c r="X77" s="204">
        <f>IF(AND(K77&gt;0,[1]CustoContabil!$F$31&gt;0),K77*([1]CustoContabil!$F$45/[1]CustoContabil!$F$31)*W77,0)</f>
        <v>0</v>
      </c>
      <c r="Y77" s="204">
        <f>IF(AND(N77&gt;0,[1]CustoContabil!$D$31&gt;0),N77*([1]CustoContabil!$D$45/[1]CustoContabil!$D$31)*W77,0)</f>
        <v>0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IF(OR(V78="",V78=0),0,(Projeto!$AD$8*((1+Projeto!$AD$8)^V78))/(((1+Projeto!$AD$8)^V78)-1))</f>
        <v>0</v>
      </c>
      <c r="X78" s="204">
        <f>IF(AND(K78&gt;0,[1]CustoContabil!$F$31&gt;0),K78*([1]CustoContabil!$F$45/[1]CustoContabil!$F$31)*W78,0)</f>
        <v>0</v>
      </c>
      <c r="Y78" s="204">
        <f>IF(AND(N78&gt;0,[1]CustoContabil!$D$31&gt;0),N78*([1]CustoContabil!$D$45/[1]CustoContabil!$D$31)*W78,0)</f>
        <v>0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IF(OR(V79="",V79=0),0,(Projeto!$AD$8*((1+Projeto!$AD$8)^V79))/(((1+Projeto!$AD$8)^V79)-1))</f>
        <v>0</v>
      </c>
      <c r="X79" s="204">
        <f>IF(AND(K79&gt;0,[1]CustoContabil!$F$31&gt;0),K79*([1]CustoContabil!$F$45/[1]CustoContabil!$F$31)*W79,0)</f>
        <v>0</v>
      </c>
      <c r="Y79" s="204">
        <f>IF(AND(N79&gt;0,[1]CustoContabil!$D$31&gt;0),N79*([1]CustoContabil!$D$45/[1]CustoContabil!$D$31)*W79,0)</f>
        <v>0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IF(OR(V80="",V80=0),0,(Projeto!$AD$8*((1+Projeto!$AD$8)^V80))/(((1+Projeto!$AD$8)^V80)-1))</f>
        <v>0</v>
      </c>
      <c r="X80" s="204">
        <f>IF(AND(K80&gt;0,[1]CustoContabil!$F$31&gt;0),K80*([1]CustoContabil!$F$45/[1]CustoContabil!$F$31)*W80,0)</f>
        <v>0</v>
      </c>
      <c r="Y80" s="204">
        <f>IF(AND(N80&gt;0,[1]CustoContabil!$D$31&gt;0),N80*([1]CustoContabil!$D$45/[1]CustoContabil!$D$31)*W80,0)</f>
        <v>0</v>
      </c>
    </row>
    <row r="81" spans="2:25" ht="15" hidden="1" customHeight="1" x14ac:dyDescent="0.25">
      <c r="B81" s="201"/>
      <c r="C81" s="958" t="s">
        <v>4066</v>
      </c>
      <c r="D81" s="958"/>
      <c r="E81" s="958"/>
      <c r="F81" s="958"/>
      <c r="G81" s="868"/>
      <c r="H81" s="205">
        <v>20</v>
      </c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/>
      <c r="Q81" s="866" t="str">
        <f t="shared" si="10"/>
        <v>Acessórios</v>
      </c>
      <c r="R81" s="866"/>
      <c r="S81" s="866"/>
      <c r="T81" s="866"/>
      <c r="U81" s="867"/>
      <c r="V81" s="202" t="str">
        <f t="shared" si="11"/>
        <v/>
      </c>
      <c r="W81" s="203">
        <f>IF(OR(V81="",V81=0),0,(Projeto!$AD$8*((1+Projeto!$AD$8)^V81))/(((1+Projeto!$AD$8)^V81)-1))</f>
        <v>0</v>
      </c>
      <c r="X81" s="204">
        <f>IF(AND(K81&gt;0,[1]CustoContabil!$F$31&gt;0),K81*([1]CustoContabil!$F$45/[1]CustoContabil!$F$31)*W81,0)</f>
        <v>0</v>
      </c>
      <c r="Y81" s="204">
        <f>IF(AND(N81&gt;0,[1]CustoContabil!$D$31&gt;0),N81*([1]CustoContabil!$D$45/[1]CustoContabil!$D$31)*W81,0)</f>
        <v>0</v>
      </c>
    </row>
    <row r="82" spans="2:25" ht="15" hidden="1" customHeight="1" x14ac:dyDescent="0.25">
      <c r="B82" s="206"/>
      <c r="C82" s="838" t="s">
        <v>4725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4734</v>
      </c>
      <c r="Q82" s="872"/>
      <c r="R82" s="872"/>
      <c r="S82" s="872"/>
      <c r="T82" s="872"/>
      <c r="U82" s="872"/>
      <c r="V82" s="873"/>
      <c r="W82" s="208" t="s">
        <v>4727</v>
      </c>
      <c r="X82" s="209">
        <f>SUM(X61:X81)</f>
        <v>0</v>
      </c>
      <c r="Y82" s="209">
        <f>SUM(Y61:Y81)</f>
        <v>0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4728</v>
      </c>
      <c r="Q84" s="214"/>
      <c r="R84" s="215">
        <f>[1]RCB!$G$32</f>
        <v>0</v>
      </c>
      <c r="T84" s="213" t="s">
        <v>4729</v>
      </c>
      <c r="U84" s="214"/>
      <c r="V84" s="215">
        <f>[1]RCB!$J$32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[1]RCB!$H$29</f>
        <v>0</v>
      </c>
      <c r="T85" s="213" t="s">
        <v>4075</v>
      </c>
      <c r="U85" s="214"/>
      <c r="V85" s="215">
        <f>[1]RCB!$K$29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</row>
    <row r="91" spans="2:25" ht="15" hidden="1" customHeight="1" x14ac:dyDescent="0.25">
      <c r="B91" s="210"/>
      <c r="C91" s="874" t="s">
        <v>4730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</row>
    <row r="92" spans="2:25" ht="15" hidden="1" customHeight="1" x14ac:dyDescent="0.25">
      <c r="B92" s="206"/>
      <c r="C92" s="838" t="s">
        <v>4735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90"/>
      <c r="M94" s="291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4736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4731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90"/>
      <c r="M104" s="291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3925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>
        <f>[1]Descarte!K148</f>
        <v>0</v>
      </c>
      <c r="L115" s="158">
        <f>[1]Descarte!L148</f>
        <v>0</v>
      </c>
      <c r="M115" s="158">
        <f>[1]Descarte!M148</f>
        <v>0</v>
      </c>
      <c r="N115" s="158">
        <f>[1]Descarte!N148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>
        <f>'[1]M&amp;V'!M790</f>
        <v>0</v>
      </c>
      <c r="L116" s="158">
        <f>'[1]M&amp;V'!N790</f>
        <v>0</v>
      </c>
      <c r="M116" s="158">
        <f>'[1]M&amp;V'!O790</f>
        <v>0</v>
      </c>
      <c r="N116" s="158">
        <f>'[1]M&amp;V'!P790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t="15" hidden="1" customHeight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t="15" hidden="1" customHeight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t="15" hidden="1" customHeight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t="15" hidden="1" customHeight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t="15" hidden="1" customHeight="1" x14ac:dyDescent="0.25">
      <c r="B122" s="217"/>
      <c r="C122" s="840" t="s">
        <v>4732</v>
      </c>
      <c r="D122" s="840"/>
      <c r="E122" s="840"/>
      <c r="F122" s="840"/>
      <c r="G122" s="840"/>
      <c r="H122" s="840"/>
      <c r="I122" s="840"/>
      <c r="J122" s="841"/>
      <c r="K122" s="164">
        <f>SUM(K104,K109,K114:K116,K121)</f>
        <v>0</v>
      </c>
      <c r="L122" s="164">
        <f>SUM(L104,L109,L114:L116,L121)</f>
        <v>0</v>
      </c>
      <c r="M122" s="164">
        <f>SUM(M104,M109,M114:M116,M121)</f>
        <v>0</v>
      </c>
      <c r="N122" s="164">
        <f>SUM(N104,N109,N114:N116,N121)</f>
        <v>0</v>
      </c>
    </row>
    <row r="123" spans="2:16" ht="15" hidden="1" customHeight="1" x14ac:dyDescent="0.25">
      <c r="B123" s="218"/>
      <c r="C123" s="818" t="s">
        <v>4737</v>
      </c>
      <c r="D123" s="818"/>
      <c r="E123" s="818"/>
      <c r="F123" s="818"/>
      <c r="G123" s="818"/>
      <c r="H123" s="818"/>
      <c r="I123" s="818"/>
      <c r="J123" s="819"/>
      <c r="K123" s="209">
        <f>SUM(K101,K122)</f>
        <v>0</v>
      </c>
      <c r="L123" s="209">
        <f>SUM(L101,L122)</f>
        <v>0</v>
      </c>
      <c r="M123" s="209">
        <f>SUM(M101,M122)</f>
        <v>0</v>
      </c>
      <c r="N123" s="209">
        <f>SUM(N101,N122)</f>
        <v>0</v>
      </c>
    </row>
  </sheetData>
  <sheetProtection algorithmName="SHA-512" hashValue="HfLpKjukzUlmKeOGnv2LGWZPK58qS8uvj8DDaQkoEpqmQQbGV+mAXpZtGatJBUCwKkqPM8o9M0MCUWCtO9jVXQ==" saltValue="w4uCZFtqDiIMrsjFpGbq5w==" spinCount="100000" sheet="1" objects="1" scenarios="1"/>
  <mergeCells count="179">
    <mergeCell ref="C6:G6"/>
    <mergeCell ref="Q6:U6"/>
    <mergeCell ref="C7:G7"/>
    <mergeCell ref="Q7:U7"/>
    <mergeCell ref="B2:N2"/>
    <mergeCell ref="P2:Y2"/>
    <mergeCell ref="B3:N3"/>
    <mergeCell ref="P3:Y3"/>
    <mergeCell ref="B4:J4"/>
    <mergeCell ref="K4:N4"/>
    <mergeCell ref="P4:X4"/>
    <mergeCell ref="B5:G5"/>
    <mergeCell ref="P5:U5"/>
    <mergeCell ref="C19:G19"/>
    <mergeCell ref="Q19:U19"/>
    <mergeCell ref="C8:G8"/>
    <mergeCell ref="Q8:U8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6:G26"/>
    <mergeCell ref="Q26:U26"/>
    <mergeCell ref="C27:J27"/>
    <mergeCell ref="P27:V27"/>
    <mergeCell ref="B28:J29"/>
    <mergeCell ref="K28:N29"/>
    <mergeCell ref="B30:G30"/>
    <mergeCell ref="C31:G31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43:H43"/>
    <mergeCell ref="C44:H44"/>
    <mergeCell ref="C45:H45"/>
    <mergeCell ref="C32:G32"/>
    <mergeCell ref="C33:G33"/>
    <mergeCell ref="C34:G34"/>
    <mergeCell ref="C35:G35"/>
    <mergeCell ref="C36:G36"/>
    <mergeCell ref="C37:G37"/>
    <mergeCell ref="C38:J38"/>
    <mergeCell ref="C39:J39"/>
    <mergeCell ref="B40:N40"/>
    <mergeCell ref="B41:J41"/>
    <mergeCell ref="K41:N41"/>
    <mergeCell ref="B42:H42"/>
    <mergeCell ref="C62:G62"/>
    <mergeCell ref="Q62:U62"/>
    <mergeCell ref="C63:G63"/>
    <mergeCell ref="Q63:U63"/>
    <mergeCell ref="C46:J46"/>
    <mergeCell ref="C47:J47"/>
    <mergeCell ref="C48:J48"/>
    <mergeCell ref="B49:H49"/>
    <mergeCell ref="C50:H50"/>
    <mergeCell ref="C51:H51"/>
    <mergeCell ref="C52:H52"/>
    <mergeCell ref="C53:J53"/>
    <mergeCell ref="C54:J54"/>
    <mergeCell ref="C55:J55"/>
    <mergeCell ref="B57:N57"/>
    <mergeCell ref="P57:Y57"/>
    <mergeCell ref="B58:N58"/>
    <mergeCell ref="P58:Y58"/>
    <mergeCell ref="B59:J59"/>
    <mergeCell ref="K59:N59"/>
    <mergeCell ref="P59:X59"/>
    <mergeCell ref="B60:G60"/>
    <mergeCell ref="P60:U60"/>
    <mergeCell ref="C61:G61"/>
    <mergeCell ref="Q61:U61"/>
    <mergeCell ref="C75:G75"/>
    <mergeCell ref="Q75:U75"/>
    <mergeCell ref="C64:G64"/>
    <mergeCell ref="Q64:U64"/>
    <mergeCell ref="C65:G65"/>
    <mergeCell ref="Q65:U65"/>
    <mergeCell ref="C66:G66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72:G72"/>
    <mergeCell ref="Q72:U72"/>
    <mergeCell ref="C73:G73"/>
    <mergeCell ref="Q73:U73"/>
    <mergeCell ref="C74:G74"/>
    <mergeCell ref="Q74:U74"/>
    <mergeCell ref="C89:G89"/>
    <mergeCell ref="C90:G90"/>
    <mergeCell ref="C91:J91"/>
    <mergeCell ref="C76:G76"/>
    <mergeCell ref="Q76:U76"/>
    <mergeCell ref="C77:G77"/>
    <mergeCell ref="Q77:U77"/>
    <mergeCell ref="C78:G78"/>
    <mergeCell ref="Q78:U78"/>
    <mergeCell ref="C79:G79"/>
    <mergeCell ref="Q79:U79"/>
    <mergeCell ref="C80:G80"/>
    <mergeCell ref="Q80:U80"/>
    <mergeCell ref="C81:G81"/>
    <mergeCell ref="Q81:U81"/>
    <mergeCell ref="C82:J82"/>
    <mergeCell ref="P82:V82"/>
    <mergeCell ref="B83:J83"/>
    <mergeCell ref="K83:N83"/>
    <mergeCell ref="C84:J84"/>
    <mergeCell ref="B85:G85"/>
    <mergeCell ref="C86:G86"/>
    <mergeCell ref="C87:G87"/>
    <mergeCell ref="C88:G88"/>
    <mergeCell ref="C111:H111"/>
    <mergeCell ref="C112:H112"/>
    <mergeCell ref="C113:H113"/>
    <mergeCell ref="C92:J92"/>
    <mergeCell ref="B93:J93"/>
    <mergeCell ref="K93:N93"/>
    <mergeCell ref="C94:J94"/>
    <mergeCell ref="B95:H95"/>
    <mergeCell ref="C96:H96"/>
    <mergeCell ref="C97:H97"/>
    <mergeCell ref="C98:H98"/>
    <mergeCell ref="C99:J99"/>
    <mergeCell ref="C100:J100"/>
    <mergeCell ref="C101:J101"/>
    <mergeCell ref="B102:N102"/>
    <mergeCell ref="B103:J103"/>
    <mergeCell ref="K103:N103"/>
    <mergeCell ref="C104:J104"/>
    <mergeCell ref="B105:H105"/>
    <mergeCell ref="C106:H106"/>
    <mergeCell ref="C107:H107"/>
    <mergeCell ref="C108:H108"/>
    <mergeCell ref="C109:J109"/>
    <mergeCell ref="B110:H110"/>
    <mergeCell ref="C120:H120"/>
    <mergeCell ref="C121:J121"/>
    <mergeCell ref="C122:J122"/>
    <mergeCell ref="C123:J123"/>
    <mergeCell ref="C114:J114"/>
    <mergeCell ref="C115:J115"/>
    <mergeCell ref="C116:J116"/>
    <mergeCell ref="B117:H117"/>
    <mergeCell ref="C118:H118"/>
    <mergeCell ref="C119:H119"/>
  </mergeCells>
  <conditionalFormatting sqref="K6:K27 K31:K39 L38:N39 K43:K48 N48 K50:K55 L54:N55 K61:K82 K84 K86:K92 K94 K96:K101 K104 K106:K109 K111:K116 K118:K123">
    <cfRule type="cellIs" dxfId="28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3"/>
  <dimension ref="A1:DC101"/>
  <sheetViews>
    <sheetView zoomScaleNormal="100" workbookViewId="0">
      <selection activeCell="E4" sqref="E4"/>
    </sheetView>
  </sheetViews>
  <sheetFormatPr defaultColWidth="9.140625" defaultRowHeight="15" customHeight="1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1.7109375" style="76" customWidth="1"/>
    <col min="5" max="5" width="9.85546875" style="219" bestFit="1" customWidth="1"/>
    <col min="6" max="6" width="10.5703125" style="220" bestFit="1" customWidth="1"/>
    <col min="7" max="7" width="12.7109375" style="76" customWidth="1"/>
    <col min="8" max="107" width="11.7109375" style="76" customWidth="1"/>
    <col min="108" max="16384" width="9.140625" style="76"/>
  </cols>
  <sheetData>
    <row r="1" spans="1:107" ht="15" customHeight="1" x14ac:dyDescent="0.25">
      <c r="A1" s="52"/>
    </row>
    <row r="2" spans="1:107" ht="15" customHeight="1" x14ac:dyDescent="0.25">
      <c r="B2" s="649" t="s">
        <v>4738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</row>
    <row r="3" spans="1:10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4739</v>
      </c>
      <c r="I3" s="224" t="s">
        <v>4740</v>
      </c>
      <c r="J3" s="224" t="s">
        <v>4741</v>
      </c>
      <c r="K3" s="224" t="s">
        <v>4742</v>
      </c>
      <c r="L3" s="224" t="s">
        <v>4743</v>
      </c>
      <c r="M3" s="224" t="s">
        <v>4744</v>
      </c>
      <c r="N3" s="224" t="s">
        <v>4745</v>
      </c>
      <c r="O3" s="224" t="s">
        <v>4746</v>
      </c>
      <c r="P3" s="224" t="s">
        <v>4747</v>
      </c>
      <c r="Q3" s="224" t="s">
        <v>4748</v>
      </c>
      <c r="R3" s="224" t="s">
        <v>4749</v>
      </c>
      <c r="S3" s="224" t="s">
        <v>4750</v>
      </c>
      <c r="T3" s="224" t="s">
        <v>4751</v>
      </c>
      <c r="U3" s="224" t="s">
        <v>4752</v>
      </c>
      <c r="V3" s="224" t="s">
        <v>4753</v>
      </c>
      <c r="W3" s="224" t="s">
        <v>4754</v>
      </c>
      <c r="X3" s="224" t="s">
        <v>4755</v>
      </c>
      <c r="Y3" s="224" t="s">
        <v>4756</v>
      </c>
      <c r="Z3" s="224" t="s">
        <v>4757</v>
      </c>
      <c r="AA3" s="224" t="s">
        <v>4758</v>
      </c>
      <c r="AB3" s="224" t="s">
        <v>4759</v>
      </c>
      <c r="AC3" s="224" t="s">
        <v>4760</v>
      </c>
      <c r="AD3" s="224" t="s">
        <v>4761</v>
      </c>
      <c r="AE3" s="224" t="s">
        <v>4762</v>
      </c>
      <c r="AF3" s="224" t="s">
        <v>4763</v>
      </c>
      <c r="AG3" s="224" t="s">
        <v>4764</v>
      </c>
      <c r="AH3" s="224" t="s">
        <v>4765</v>
      </c>
      <c r="AI3" s="224" t="s">
        <v>4766</v>
      </c>
      <c r="AJ3" s="224" t="s">
        <v>4767</v>
      </c>
      <c r="AK3" s="224" t="s">
        <v>4768</v>
      </c>
      <c r="AL3" s="224" t="s">
        <v>4769</v>
      </c>
      <c r="AM3" s="224" t="s">
        <v>4770</v>
      </c>
      <c r="AN3" s="224" t="s">
        <v>4771</v>
      </c>
      <c r="AO3" s="224" t="s">
        <v>4772</v>
      </c>
      <c r="AP3" s="224" t="s">
        <v>4773</v>
      </c>
      <c r="AQ3" s="224" t="s">
        <v>4774</v>
      </c>
      <c r="AR3" s="224" t="s">
        <v>4775</v>
      </c>
      <c r="AS3" s="224" t="s">
        <v>4776</v>
      </c>
      <c r="AT3" s="224" t="s">
        <v>4777</v>
      </c>
      <c r="AU3" s="224" t="s">
        <v>4778</v>
      </c>
      <c r="AV3" s="224" t="s">
        <v>4779</v>
      </c>
      <c r="AW3" s="224" t="s">
        <v>4780</v>
      </c>
      <c r="AX3" s="224" t="s">
        <v>4781</v>
      </c>
      <c r="AY3" s="224" t="s">
        <v>4782</v>
      </c>
      <c r="AZ3" s="224" t="s">
        <v>4783</v>
      </c>
      <c r="BA3" s="224" t="s">
        <v>4784</v>
      </c>
      <c r="BB3" s="224" t="s">
        <v>4785</v>
      </c>
      <c r="BC3" s="224" t="s">
        <v>4786</v>
      </c>
      <c r="BD3" s="224" t="s">
        <v>4787</v>
      </c>
      <c r="BE3" s="224" t="s">
        <v>4788</v>
      </c>
      <c r="BF3" s="224" t="s">
        <v>4789</v>
      </c>
      <c r="BG3" s="224" t="s">
        <v>4790</v>
      </c>
      <c r="BH3" s="224" t="s">
        <v>4791</v>
      </c>
      <c r="BI3" s="224" t="s">
        <v>4792</v>
      </c>
      <c r="BJ3" s="224" t="s">
        <v>4793</v>
      </c>
      <c r="BK3" s="224" t="s">
        <v>4794</v>
      </c>
      <c r="BL3" s="224" t="s">
        <v>4795</v>
      </c>
      <c r="BM3" s="224" t="s">
        <v>4796</v>
      </c>
      <c r="BN3" s="224" t="s">
        <v>4797</v>
      </c>
      <c r="BO3" s="224" t="s">
        <v>4798</v>
      </c>
      <c r="BP3" s="224" t="s">
        <v>4799</v>
      </c>
      <c r="BQ3" s="224" t="s">
        <v>4800</v>
      </c>
      <c r="BR3" s="224" t="s">
        <v>4801</v>
      </c>
      <c r="BS3" s="224" t="s">
        <v>4802</v>
      </c>
      <c r="BT3" s="224" t="s">
        <v>4803</v>
      </c>
      <c r="BU3" s="224" t="s">
        <v>4804</v>
      </c>
      <c r="BV3" s="224" t="s">
        <v>4805</v>
      </c>
      <c r="BW3" s="224" t="s">
        <v>4806</v>
      </c>
      <c r="BX3" s="224" t="s">
        <v>4807</v>
      </c>
      <c r="BY3" s="224" t="s">
        <v>4808</v>
      </c>
      <c r="BZ3" s="224" t="s">
        <v>4809</v>
      </c>
      <c r="CA3" s="224" t="s">
        <v>4810</v>
      </c>
      <c r="CB3" s="224" t="s">
        <v>4811</v>
      </c>
      <c r="CC3" s="224" t="s">
        <v>4812</v>
      </c>
      <c r="CD3" s="224" t="s">
        <v>4813</v>
      </c>
      <c r="CE3" s="224" t="s">
        <v>4814</v>
      </c>
      <c r="CF3" s="224" t="s">
        <v>4815</v>
      </c>
      <c r="CG3" s="224" t="s">
        <v>4816</v>
      </c>
      <c r="CH3" s="224" t="s">
        <v>4817</v>
      </c>
      <c r="CI3" s="224" t="s">
        <v>4818</v>
      </c>
      <c r="CJ3" s="224" t="s">
        <v>4819</v>
      </c>
      <c r="CK3" s="224" t="s">
        <v>4820</v>
      </c>
      <c r="CL3" s="224" t="s">
        <v>4821</v>
      </c>
      <c r="CM3" s="224" t="s">
        <v>4822</v>
      </c>
      <c r="CN3" s="224" t="s">
        <v>4823</v>
      </c>
      <c r="CO3" s="224" t="s">
        <v>4824</v>
      </c>
      <c r="CP3" s="224" t="s">
        <v>4825</v>
      </c>
      <c r="CQ3" s="224" t="s">
        <v>4826</v>
      </c>
      <c r="CR3" s="224" t="s">
        <v>4827</v>
      </c>
      <c r="CS3" s="224" t="s">
        <v>4828</v>
      </c>
      <c r="CT3" s="224" t="s">
        <v>4829</v>
      </c>
      <c r="CU3" s="224" t="s">
        <v>4830</v>
      </c>
      <c r="CV3" s="224" t="s">
        <v>4831</v>
      </c>
      <c r="CW3" s="224" t="s">
        <v>4832</v>
      </c>
      <c r="CX3" s="224" t="s">
        <v>4833</v>
      </c>
      <c r="CY3" s="224" t="s">
        <v>4834</v>
      </c>
      <c r="CZ3" s="224" t="s">
        <v>4835</v>
      </c>
      <c r="DA3" s="224" t="s">
        <v>4836</v>
      </c>
      <c r="DB3" s="224" t="s">
        <v>4837</v>
      </c>
      <c r="DC3" s="224" t="s">
        <v>4838</v>
      </c>
    </row>
    <row r="4" spans="1:10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</row>
    <row r="5" spans="1:107" ht="15" customHeight="1" x14ac:dyDescent="0.25">
      <c r="B5" s="515">
        <v>2</v>
      </c>
      <c r="C5" s="225" t="s">
        <v>4196</v>
      </c>
      <c r="D5" s="225"/>
      <c r="E5" s="226"/>
      <c r="F5" s="227"/>
      <c r="G5" s="22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spans="1:107" ht="15" customHeight="1" x14ac:dyDescent="0.25">
      <c r="B6" s="515">
        <v>3</v>
      </c>
      <c r="C6" s="225" t="s">
        <v>4839</v>
      </c>
      <c r="D6" s="225"/>
      <c r="E6" s="231" t="s">
        <v>3857</v>
      </c>
      <c r="F6" s="232" t="s">
        <v>4206</v>
      </c>
      <c r="G6" s="554">
        <f>SUM(H6:DC6)</f>
        <v>0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</row>
    <row r="7" spans="1:107" ht="15" customHeight="1" x14ac:dyDescent="0.25">
      <c r="B7" s="899">
        <v>4</v>
      </c>
      <c r="C7" s="225" t="s">
        <v>4317</v>
      </c>
      <c r="D7" s="225"/>
      <c r="E7" s="231"/>
      <c r="F7" s="232" t="s">
        <v>4318</v>
      </c>
      <c r="G7" s="237" t="str">
        <f>IF(COUNTA(H7:DC7)=0,"",IF(OR(LARGE(H7:DC7,1)&gt;1,SMALL(H7:DC7,1)&lt;0),"ERRO",""))</f>
        <v/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</row>
    <row r="8" spans="1:107" ht="15" customHeight="1" x14ac:dyDescent="0.25">
      <c r="B8" s="901"/>
      <c r="C8" s="225" t="s">
        <v>4459</v>
      </c>
      <c r="D8" s="225"/>
      <c r="E8" s="231" t="s">
        <v>3857</v>
      </c>
      <c r="F8" s="232" t="s">
        <v>4320</v>
      </c>
      <c r="G8" s="554">
        <f>SUM(H8:DC8)</f>
        <v>0</v>
      </c>
      <c r="H8" s="236">
        <f>H6*H7</f>
        <v>0</v>
      </c>
      <c r="I8" s="236">
        <f t="shared" ref="I8:Z8" si="0">I6*I7</f>
        <v>0</v>
      </c>
      <c r="J8" s="236">
        <f t="shared" si="0"/>
        <v>0</v>
      </c>
      <c r="K8" s="236">
        <f t="shared" si="0"/>
        <v>0</v>
      </c>
      <c r="L8" s="236">
        <f t="shared" si="0"/>
        <v>0</v>
      </c>
      <c r="M8" s="236">
        <f t="shared" si="0"/>
        <v>0</v>
      </c>
      <c r="N8" s="236">
        <f t="shared" si="0"/>
        <v>0</v>
      </c>
      <c r="O8" s="236">
        <f t="shared" si="0"/>
        <v>0</v>
      </c>
      <c r="P8" s="236">
        <f t="shared" si="0"/>
        <v>0</v>
      </c>
      <c r="Q8" s="236">
        <f t="shared" si="0"/>
        <v>0</v>
      </c>
      <c r="R8" s="236">
        <f t="shared" si="0"/>
        <v>0</v>
      </c>
      <c r="S8" s="236">
        <f t="shared" si="0"/>
        <v>0</v>
      </c>
      <c r="T8" s="236">
        <f t="shared" si="0"/>
        <v>0</v>
      </c>
      <c r="U8" s="236">
        <f t="shared" si="0"/>
        <v>0</v>
      </c>
      <c r="V8" s="236">
        <f t="shared" si="0"/>
        <v>0</v>
      </c>
      <c r="W8" s="236">
        <f t="shared" si="0"/>
        <v>0</v>
      </c>
      <c r="X8" s="236">
        <f t="shared" si="0"/>
        <v>0</v>
      </c>
      <c r="Y8" s="236">
        <f t="shared" si="0"/>
        <v>0</v>
      </c>
      <c r="Z8" s="236">
        <f t="shared" si="0"/>
        <v>0</v>
      </c>
      <c r="AA8" s="236">
        <f t="shared" ref="AA8:CL8" si="1">AA6*AA7</f>
        <v>0</v>
      </c>
      <c r="AB8" s="236">
        <f t="shared" si="1"/>
        <v>0</v>
      </c>
      <c r="AC8" s="236">
        <f t="shared" si="1"/>
        <v>0</v>
      </c>
      <c r="AD8" s="236">
        <f t="shared" si="1"/>
        <v>0</v>
      </c>
      <c r="AE8" s="236">
        <f t="shared" si="1"/>
        <v>0</v>
      </c>
      <c r="AF8" s="236">
        <f t="shared" si="1"/>
        <v>0</v>
      </c>
      <c r="AG8" s="236">
        <f t="shared" si="1"/>
        <v>0</v>
      </c>
      <c r="AH8" s="236">
        <f t="shared" si="1"/>
        <v>0</v>
      </c>
      <c r="AI8" s="236">
        <f t="shared" si="1"/>
        <v>0</v>
      </c>
      <c r="AJ8" s="236">
        <f t="shared" si="1"/>
        <v>0</v>
      </c>
      <c r="AK8" s="236">
        <f t="shared" si="1"/>
        <v>0</v>
      </c>
      <c r="AL8" s="236">
        <f t="shared" si="1"/>
        <v>0</v>
      </c>
      <c r="AM8" s="236">
        <f t="shared" si="1"/>
        <v>0</v>
      </c>
      <c r="AN8" s="236">
        <f t="shared" si="1"/>
        <v>0</v>
      </c>
      <c r="AO8" s="236">
        <f t="shared" si="1"/>
        <v>0</v>
      </c>
      <c r="AP8" s="236">
        <f t="shared" si="1"/>
        <v>0</v>
      </c>
      <c r="AQ8" s="236">
        <f t="shared" si="1"/>
        <v>0</v>
      </c>
      <c r="AR8" s="236">
        <f t="shared" si="1"/>
        <v>0</v>
      </c>
      <c r="AS8" s="236">
        <f t="shared" si="1"/>
        <v>0</v>
      </c>
      <c r="AT8" s="236">
        <f t="shared" si="1"/>
        <v>0</v>
      </c>
      <c r="AU8" s="236">
        <f t="shared" si="1"/>
        <v>0</v>
      </c>
      <c r="AV8" s="236">
        <f t="shared" si="1"/>
        <v>0</v>
      </c>
      <c r="AW8" s="236">
        <f t="shared" si="1"/>
        <v>0</v>
      </c>
      <c r="AX8" s="236">
        <f t="shared" si="1"/>
        <v>0</v>
      </c>
      <c r="AY8" s="236">
        <f t="shared" si="1"/>
        <v>0</v>
      </c>
      <c r="AZ8" s="236">
        <f t="shared" si="1"/>
        <v>0</v>
      </c>
      <c r="BA8" s="236">
        <f t="shared" si="1"/>
        <v>0</v>
      </c>
      <c r="BB8" s="236">
        <f t="shared" si="1"/>
        <v>0</v>
      </c>
      <c r="BC8" s="236">
        <f t="shared" si="1"/>
        <v>0</v>
      </c>
      <c r="BD8" s="236">
        <f t="shared" si="1"/>
        <v>0</v>
      </c>
      <c r="BE8" s="236">
        <f t="shared" si="1"/>
        <v>0</v>
      </c>
      <c r="BF8" s="236">
        <f t="shared" si="1"/>
        <v>0</v>
      </c>
      <c r="BG8" s="236">
        <f t="shared" si="1"/>
        <v>0</v>
      </c>
      <c r="BH8" s="236">
        <f t="shared" si="1"/>
        <v>0</v>
      </c>
      <c r="BI8" s="236">
        <f t="shared" si="1"/>
        <v>0</v>
      </c>
      <c r="BJ8" s="236">
        <f t="shared" si="1"/>
        <v>0</v>
      </c>
      <c r="BK8" s="236">
        <f t="shared" si="1"/>
        <v>0</v>
      </c>
      <c r="BL8" s="236">
        <f t="shared" si="1"/>
        <v>0</v>
      </c>
      <c r="BM8" s="236">
        <f t="shared" si="1"/>
        <v>0</v>
      </c>
      <c r="BN8" s="236">
        <f t="shared" si="1"/>
        <v>0</v>
      </c>
      <c r="BO8" s="236">
        <f t="shared" si="1"/>
        <v>0</v>
      </c>
      <c r="BP8" s="236">
        <f t="shared" si="1"/>
        <v>0</v>
      </c>
      <c r="BQ8" s="236">
        <f t="shared" si="1"/>
        <v>0</v>
      </c>
      <c r="BR8" s="236">
        <f t="shared" si="1"/>
        <v>0</v>
      </c>
      <c r="BS8" s="236">
        <f t="shared" si="1"/>
        <v>0</v>
      </c>
      <c r="BT8" s="236">
        <f t="shared" si="1"/>
        <v>0</v>
      </c>
      <c r="BU8" s="236">
        <f t="shared" si="1"/>
        <v>0</v>
      </c>
      <c r="BV8" s="236">
        <f t="shared" si="1"/>
        <v>0</v>
      </c>
      <c r="BW8" s="236">
        <f t="shared" si="1"/>
        <v>0</v>
      </c>
      <c r="BX8" s="236">
        <f t="shared" si="1"/>
        <v>0</v>
      </c>
      <c r="BY8" s="236">
        <f t="shared" si="1"/>
        <v>0</v>
      </c>
      <c r="BZ8" s="236">
        <f t="shared" si="1"/>
        <v>0</v>
      </c>
      <c r="CA8" s="236">
        <f t="shared" si="1"/>
        <v>0</v>
      </c>
      <c r="CB8" s="236">
        <f t="shared" si="1"/>
        <v>0</v>
      </c>
      <c r="CC8" s="236">
        <f t="shared" si="1"/>
        <v>0</v>
      </c>
      <c r="CD8" s="236">
        <f t="shared" si="1"/>
        <v>0</v>
      </c>
      <c r="CE8" s="236">
        <f t="shared" si="1"/>
        <v>0</v>
      </c>
      <c r="CF8" s="236">
        <f t="shared" si="1"/>
        <v>0</v>
      </c>
      <c r="CG8" s="236">
        <f t="shared" si="1"/>
        <v>0</v>
      </c>
      <c r="CH8" s="236">
        <f t="shared" si="1"/>
        <v>0</v>
      </c>
      <c r="CI8" s="236">
        <f t="shared" si="1"/>
        <v>0</v>
      </c>
      <c r="CJ8" s="236">
        <f t="shared" si="1"/>
        <v>0</v>
      </c>
      <c r="CK8" s="236">
        <f t="shared" si="1"/>
        <v>0</v>
      </c>
      <c r="CL8" s="236">
        <f t="shared" si="1"/>
        <v>0</v>
      </c>
      <c r="CM8" s="236">
        <f t="shared" ref="CM8:DC8" si="2">CM6*CM7</f>
        <v>0</v>
      </c>
      <c r="CN8" s="236">
        <f t="shared" si="2"/>
        <v>0</v>
      </c>
      <c r="CO8" s="236">
        <f t="shared" si="2"/>
        <v>0</v>
      </c>
      <c r="CP8" s="236">
        <f t="shared" si="2"/>
        <v>0</v>
      </c>
      <c r="CQ8" s="236">
        <f t="shared" si="2"/>
        <v>0</v>
      </c>
      <c r="CR8" s="236">
        <f t="shared" si="2"/>
        <v>0</v>
      </c>
      <c r="CS8" s="236">
        <f t="shared" si="2"/>
        <v>0</v>
      </c>
      <c r="CT8" s="236">
        <f t="shared" si="2"/>
        <v>0</v>
      </c>
      <c r="CU8" s="236">
        <f t="shared" si="2"/>
        <v>0</v>
      </c>
      <c r="CV8" s="236">
        <f t="shared" si="2"/>
        <v>0</v>
      </c>
      <c r="CW8" s="236">
        <f t="shared" si="2"/>
        <v>0</v>
      </c>
      <c r="CX8" s="236">
        <f t="shared" si="2"/>
        <v>0</v>
      </c>
      <c r="CY8" s="236">
        <f t="shared" si="2"/>
        <v>0</v>
      </c>
      <c r="CZ8" s="236">
        <f t="shared" si="2"/>
        <v>0</v>
      </c>
      <c r="DA8" s="236">
        <f t="shared" si="2"/>
        <v>0</v>
      </c>
      <c r="DB8" s="236">
        <f t="shared" si="2"/>
        <v>0</v>
      </c>
      <c r="DC8" s="236">
        <f t="shared" si="2"/>
        <v>0</v>
      </c>
    </row>
    <row r="9" spans="1:107" ht="15" customHeight="1" x14ac:dyDescent="0.25">
      <c r="B9" s="515">
        <v>5</v>
      </c>
      <c r="C9" s="225" t="s">
        <v>3980</v>
      </c>
      <c r="D9" s="225"/>
      <c r="E9" s="231"/>
      <c r="F9" s="232" t="s">
        <v>4257</v>
      </c>
      <c r="G9" s="235">
        <f>SUM(H9:DC9)</f>
        <v>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7" ht="15" customHeight="1" x14ac:dyDescent="0.25">
      <c r="B10" s="899">
        <v>6</v>
      </c>
      <c r="C10" s="225" t="s">
        <v>4207</v>
      </c>
      <c r="D10" s="225"/>
      <c r="E10" s="231" t="s">
        <v>4208</v>
      </c>
      <c r="F10" s="232"/>
      <c r="G10" s="237" t="str">
        <f>IF(COUNTA(H10:DC10)=0,"",IF(OR(LARGE(H10:DC10,1)&gt;24,SMALL(H10:DC10,1)&lt;0),"ERRO",""))</f>
        <v/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</row>
    <row r="11" spans="1:107" ht="15" customHeight="1" x14ac:dyDescent="0.25">
      <c r="B11" s="900"/>
      <c r="C11" s="239" t="s">
        <v>4209</v>
      </c>
      <c r="D11" s="239"/>
      <c r="E11" s="558" t="s">
        <v>4210</v>
      </c>
      <c r="F11" s="232"/>
      <c r="G11" s="237" t="str">
        <f>IF(COUNTA(H11:DC11)=0,"",IF(OR(LARGE(H11:DC11,1)&gt;365,SMALL(H11:DC11,1)&lt;0),"ERRO",""))</f>
        <v/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</row>
    <row r="12" spans="1:107" ht="15" customHeight="1" x14ac:dyDescent="0.25">
      <c r="B12" s="901"/>
      <c r="C12" s="225" t="s">
        <v>4211</v>
      </c>
      <c r="D12" s="225"/>
      <c r="E12" s="231" t="s">
        <v>4212</v>
      </c>
      <c r="F12" s="232" t="s">
        <v>4213</v>
      </c>
      <c r="G12" s="237" t="str">
        <f>IF(COUNTA(H12:DC12)=0,"",IF(OR(LARGE(H12:DC12,1)&gt;8760,SMALL(H12:DC12,1)&lt;0),"ERRO",""))</f>
        <v/>
      </c>
      <c r="H12" s="241">
        <f>H10*H11</f>
        <v>0</v>
      </c>
      <c r="I12" s="241">
        <f t="shared" ref="I12:Z12" si="3">I10*I11</f>
        <v>0</v>
      </c>
      <c r="J12" s="241">
        <f t="shared" si="3"/>
        <v>0</v>
      </c>
      <c r="K12" s="241">
        <f t="shared" si="3"/>
        <v>0</v>
      </c>
      <c r="L12" s="241">
        <f t="shared" si="3"/>
        <v>0</v>
      </c>
      <c r="M12" s="241">
        <f t="shared" si="3"/>
        <v>0</v>
      </c>
      <c r="N12" s="241">
        <f t="shared" si="3"/>
        <v>0</v>
      </c>
      <c r="O12" s="241">
        <f t="shared" si="3"/>
        <v>0</v>
      </c>
      <c r="P12" s="241">
        <f t="shared" si="3"/>
        <v>0</v>
      </c>
      <c r="Q12" s="241">
        <f t="shared" si="3"/>
        <v>0</v>
      </c>
      <c r="R12" s="241">
        <f t="shared" si="3"/>
        <v>0</v>
      </c>
      <c r="S12" s="241">
        <f t="shared" si="3"/>
        <v>0</v>
      </c>
      <c r="T12" s="241">
        <f t="shared" si="3"/>
        <v>0</v>
      </c>
      <c r="U12" s="241">
        <f t="shared" si="3"/>
        <v>0</v>
      </c>
      <c r="V12" s="241">
        <f t="shared" si="3"/>
        <v>0</v>
      </c>
      <c r="W12" s="241">
        <f t="shared" si="3"/>
        <v>0</v>
      </c>
      <c r="X12" s="241">
        <f t="shared" si="3"/>
        <v>0</v>
      </c>
      <c r="Y12" s="241">
        <f t="shared" si="3"/>
        <v>0</v>
      </c>
      <c r="Z12" s="241">
        <f t="shared" si="3"/>
        <v>0</v>
      </c>
      <c r="AA12" s="241">
        <f t="shared" ref="AA12:CL12" si="4">AA10*AA11</f>
        <v>0</v>
      </c>
      <c r="AB12" s="241">
        <f t="shared" si="4"/>
        <v>0</v>
      </c>
      <c r="AC12" s="241">
        <f t="shared" si="4"/>
        <v>0</v>
      </c>
      <c r="AD12" s="241">
        <f t="shared" si="4"/>
        <v>0</v>
      </c>
      <c r="AE12" s="241">
        <f t="shared" si="4"/>
        <v>0</v>
      </c>
      <c r="AF12" s="241">
        <f t="shared" si="4"/>
        <v>0</v>
      </c>
      <c r="AG12" s="241">
        <f t="shared" si="4"/>
        <v>0</v>
      </c>
      <c r="AH12" s="241">
        <f t="shared" si="4"/>
        <v>0</v>
      </c>
      <c r="AI12" s="241">
        <f t="shared" si="4"/>
        <v>0</v>
      </c>
      <c r="AJ12" s="241">
        <f t="shared" si="4"/>
        <v>0</v>
      </c>
      <c r="AK12" s="241">
        <f t="shared" si="4"/>
        <v>0</v>
      </c>
      <c r="AL12" s="241">
        <f t="shared" si="4"/>
        <v>0</v>
      </c>
      <c r="AM12" s="241">
        <f t="shared" si="4"/>
        <v>0</v>
      </c>
      <c r="AN12" s="241">
        <f t="shared" si="4"/>
        <v>0</v>
      </c>
      <c r="AO12" s="241">
        <f t="shared" si="4"/>
        <v>0</v>
      </c>
      <c r="AP12" s="241">
        <f t="shared" si="4"/>
        <v>0</v>
      </c>
      <c r="AQ12" s="241">
        <f t="shared" si="4"/>
        <v>0</v>
      </c>
      <c r="AR12" s="241">
        <f t="shared" si="4"/>
        <v>0</v>
      </c>
      <c r="AS12" s="241">
        <f t="shared" si="4"/>
        <v>0</v>
      </c>
      <c r="AT12" s="241">
        <f t="shared" si="4"/>
        <v>0</v>
      </c>
      <c r="AU12" s="241">
        <f t="shared" si="4"/>
        <v>0</v>
      </c>
      <c r="AV12" s="241">
        <f t="shared" si="4"/>
        <v>0</v>
      </c>
      <c r="AW12" s="241">
        <f t="shared" si="4"/>
        <v>0</v>
      </c>
      <c r="AX12" s="241">
        <f t="shared" si="4"/>
        <v>0</v>
      </c>
      <c r="AY12" s="241">
        <f t="shared" si="4"/>
        <v>0</v>
      </c>
      <c r="AZ12" s="241">
        <f t="shared" si="4"/>
        <v>0</v>
      </c>
      <c r="BA12" s="241">
        <f t="shared" si="4"/>
        <v>0</v>
      </c>
      <c r="BB12" s="241">
        <f t="shared" si="4"/>
        <v>0</v>
      </c>
      <c r="BC12" s="241">
        <f t="shared" si="4"/>
        <v>0</v>
      </c>
      <c r="BD12" s="241">
        <f t="shared" si="4"/>
        <v>0</v>
      </c>
      <c r="BE12" s="241">
        <f t="shared" si="4"/>
        <v>0</v>
      </c>
      <c r="BF12" s="241">
        <f t="shared" si="4"/>
        <v>0</v>
      </c>
      <c r="BG12" s="241">
        <f t="shared" si="4"/>
        <v>0</v>
      </c>
      <c r="BH12" s="241">
        <f t="shared" si="4"/>
        <v>0</v>
      </c>
      <c r="BI12" s="241">
        <f t="shared" si="4"/>
        <v>0</v>
      </c>
      <c r="BJ12" s="241">
        <f t="shared" si="4"/>
        <v>0</v>
      </c>
      <c r="BK12" s="241">
        <f t="shared" si="4"/>
        <v>0</v>
      </c>
      <c r="BL12" s="241">
        <f t="shared" si="4"/>
        <v>0</v>
      </c>
      <c r="BM12" s="241">
        <f t="shared" si="4"/>
        <v>0</v>
      </c>
      <c r="BN12" s="241">
        <f t="shared" si="4"/>
        <v>0</v>
      </c>
      <c r="BO12" s="241">
        <f t="shared" si="4"/>
        <v>0</v>
      </c>
      <c r="BP12" s="241">
        <f t="shared" si="4"/>
        <v>0</v>
      </c>
      <c r="BQ12" s="241">
        <f t="shared" si="4"/>
        <v>0</v>
      </c>
      <c r="BR12" s="241">
        <f t="shared" si="4"/>
        <v>0</v>
      </c>
      <c r="BS12" s="241">
        <f t="shared" si="4"/>
        <v>0</v>
      </c>
      <c r="BT12" s="241">
        <f t="shared" si="4"/>
        <v>0</v>
      </c>
      <c r="BU12" s="241">
        <f t="shared" si="4"/>
        <v>0</v>
      </c>
      <c r="BV12" s="241">
        <f t="shared" si="4"/>
        <v>0</v>
      </c>
      <c r="BW12" s="241">
        <f t="shared" si="4"/>
        <v>0</v>
      </c>
      <c r="BX12" s="241">
        <f t="shared" si="4"/>
        <v>0</v>
      </c>
      <c r="BY12" s="241">
        <f t="shared" si="4"/>
        <v>0</v>
      </c>
      <c r="BZ12" s="241">
        <f t="shared" si="4"/>
        <v>0</v>
      </c>
      <c r="CA12" s="241">
        <f t="shared" si="4"/>
        <v>0</v>
      </c>
      <c r="CB12" s="241">
        <f t="shared" si="4"/>
        <v>0</v>
      </c>
      <c r="CC12" s="241">
        <f t="shared" si="4"/>
        <v>0</v>
      </c>
      <c r="CD12" s="241">
        <f t="shared" si="4"/>
        <v>0</v>
      </c>
      <c r="CE12" s="241">
        <f t="shared" si="4"/>
        <v>0</v>
      </c>
      <c r="CF12" s="241">
        <f t="shared" si="4"/>
        <v>0</v>
      </c>
      <c r="CG12" s="241">
        <f t="shared" si="4"/>
        <v>0</v>
      </c>
      <c r="CH12" s="241">
        <f t="shared" si="4"/>
        <v>0</v>
      </c>
      <c r="CI12" s="241">
        <f t="shared" si="4"/>
        <v>0</v>
      </c>
      <c r="CJ12" s="241">
        <f t="shared" si="4"/>
        <v>0</v>
      </c>
      <c r="CK12" s="241">
        <f t="shared" si="4"/>
        <v>0</v>
      </c>
      <c r="CL12" s="241">
        <f t="shared" si="4"/>
        <v>0</v>
      </c>
      <c r="CM12" s="241">
        <f t="shared" ref="CM12:DC12" si="5">CM10*CM11</f>
        <v>0</v>
      </c>
      <c r="CN12" s="241">
        <f t="shared" si="5"/>
        <v>0</v>
      </c>
      <c r="CO12" s="241">
        <f t="shared" si="5"/>
        <v>0</v>
      </c>
      <c r="CP12" s="241">
        <f t="shared" si="5"/>
        <v>0</v>
      </c>
      <c r="CQ12" s="241">
        <f t="shared" si="5"/>
        <v>0</v>
      </c>
      <c r="CR12" s="241">
        <f t="shared" si="5"/>
        <v>0</v>
      </c>
      <c r="CS12" s="241">
        <f t="shared" si="5"/>
        <v>0</v>
      </c>
      <c r="CT12" s="241">
        <f t="shared" si="5"/>
        <v>0</v>
      </c>
      <c r="CU12" s="241">
        <f t="shared" si="5"/>
        <v>0</v>
      </c>
      <c r="CV12" s="241">
        <f t="shared" si="5"/>
        <v>0</v>
      </c>
      <c r="CW12" s="241">
        <f t="shared" si="5"/>
        <v>0</v>
      </c>
      <c r="CX12" s="241">
        <f t="shared" si="5"/>
        <v>0</v>
      </c>
      <c r="CY12" s="241">
        <f t="shared" si="5"/>
        <v>0</v>
      </c>
      <c r="CZ12" s="241">
        <f t="shared" si="5"/>
        <v>0</v>
      </c>
      <c r="DA12" s="241">
        <f t="shared" si="5"/>
        <v>0</v>
      </c>
      <c r="DB12" s="241">
        <f t="shared" si="5"/>
        <v>0</v>
      </c>
      <c r="DC12" s="241">
        <f t="shared" si="5"/>
        <v>0</v>
      </c>
    </row>
    <row r="13" spans="1:107" ht="15" customHeight="1" x14ac:dyDescent="0.25">
      <c r="B13" s="899">
        <v>7</v>
      </c>
      <c r="C13" s="225" t="s">
        <v>4214</v>
      </c>
      <c r="D13" s="225"/>
      <c r="E13" s="231" t="s">
        <v>4208</v>
      </c>
      <c r="F13" s="232" t="s">
        <v>4215</v>
      </c>
      <c r="G13" s="237" t="str">
        <f>IF(COUNTA(H13:DC13)=0,"",IF(OR(LARGE(H13:DC13,1)&gt;3,SMALL(H13:DC13,1)&lt;0),"ERRO",""))</f>
        <v/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</row>
    <row r="14" spans="1:107" ht="15" customHeight="1" x14ac:dyDescent="0.25">
      <c r="B14" s="900"/>
      <c r="C14" s="225" t="s">
        <v>4216</v>
      </c>
      <c r="D14" s="225"/>
      <c r="E14" s="226" t="s">
        <v>4217</v>
      </c>
      <c r="F14" s="232" t="s">
        <v>4218</v>
      </c>
      <c r="G14" s="237" t="str">
        <f>IF(COUNTA(H14:DC14)=0,"",IF(OR(LARGE(H14:DC14,1)&gt;22,SMALL(H14:DC14,1)&lt;0),"ERRO",""))</f>
        <v/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spans="1:107" ht="15" customHeight="1" x14ac:dyDescent="0.25">
      <c r="B15" s="900"/>
      <c r="C15" s="225" t="s">
        <v>4219</v>
      </c>
      <c r="D15" s="225"/>
      <c r="E15" s="226" t="s">
        <v>4220</v>
      </c>
      <c r="F15" s="232" t="s">
        <v>4221</v>
      </c>
      <c r="G15" s="237" t="str">
        <f>IF(COUNTA(H15:DC15)=0,"",IF(OR(LARGE(H15:DC15,1)&gt;12,SMALL(H15:DC15,1)&lt;0),"ERRO",""))</f>
        <v/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</row>
    <row r="16" spans="1:107" ht="15" customHeight="1" x14ac:dyDescent="0.25">
      <c r="B16" s="900"/>
      <c r="C16" s="225" t="s">
        <v>4222</v>
      </c>
      <c r="D16" s="225"/>
      <c r="E16" s="231" t="s">
        <v>3857</v>
      </c>
      <c r="F16" s="232" t="s">
        <v>4223</v>
      </c>
      <c r="G16" s="554">
        <f>SUM(H16:DC16)</f>
        <v>0</v>
      </c>
      <c r="H16" s="236">
        <f>H8*((H13*H14*H15)/792)</f>
        <v>0</v>
      </c>
      <c r="I16" s="236">
        <f t="shared" ref="I16:Z16" si="6">I8*((I13*I14*I15)/792)</f>
        <v>0</v>
      </c>
      <c r="J16" s="236">
        <f t="shared" si="6"/>
        <v>0</v>
      </c>
      <c r="K16" s="236">
        <f t="shared" si="6"/>
        <v>0</v>
      </c>
      <c r="L16" s="236">
        <f t="shared" si="6"/>
        <v>0</v>
      </c>
      <c r="M16" s="236">
        <f t="shared" si="6"/>
        <v>0</v>
      </c>
      <c r="N16" s="236">
        <f t="shared" si="6"/>
        <v>0</v>
      </c>
      <c r="O16" s="236">
        <f t="shared" si="6"/>
        <v>0</v>
      </c>
      <c r="P16" s="236">
        <f t="shared" si="6"/>
        <v>0</v>
      </c>
      <c r="Q16" s="236">
        <f t="shared" si="6"/>
        <v>0</v>
      </c>
      <c r="R16" s="236">
        <f t="shared" si="6"/>
        <v>0</v>
      </c>
      <c r="S16" s="236">
        <f t="shared" si="6"/>
        <v>0</v>
      </c>
      <c r="T16" s="236">
        <f t="shared" si="6"/>
        <v>0</v>
      </c>
      <c r="U16" s="236">
        <f t="shared" si="6"/>
        <v>0</v>
      </c>
      <c r="V16" s="236">
        <f t="shared" si="6"/>
        <v>0</v>
      </c>
      <c r="W16" s="236">
        <f t="shared" si="6"/>
        <v>0</v>
      </c>
      <c r="X16" s="236">
        <f t="shared" si="6"/>
        <v>0</v>
      </c>
      <c r="Y16" s="236">
        <f t="shared" si="6"/>
        <v>0</v>
      </c>
      <c r="Z16" s="236">
        <f t="shared" si="6"/>
        <v>0</v>
      </c>
      <c r="AA16" s="236">
        <f t="shared" ref="AA16:CL16" si="7">AA8*((AA13*AA14*AA15)/792)</f>
        <v>0</v>
      </c>
      <c r="AB16" s="236">
        <f t="shared" si="7"/>
        <v>0</v>
      </c>
      <c r="AC16" s="236">
        <f t="shared" si="7"/>
        <v>0</v>
      </c>
      <c r="AD16" s="236">
        <f t="shared" si="7"/>
        <v>0</v>
      </c>
      <c r="AE16" s="236">
        <f t="shared" si="7"/>
        <v>0</v>
      </c>
      <c r="AF16" s="236">
        <f t="shared" si="7"/>
        <v>0</v>
      </c>
      <c r="AG16" s="236">
        <f t="shared" si="7"/>
        <v>0</v>
      </c>
      <c r="AH16" s="236">
        <f t="shared" si="7"/>
        <v>0</v>
      </c>
      <c r="AI16" s="236">
        <f t="shared" si="7"/>
        <v>0</v>
      </c>
      <c r="AJ16" s="236">
        <f t="shared" si="7"/>
        <v>0</v>
      </c>
      <c r="AK16" s="236">
        <f t="shared" si="7"/>
        <v>0</v>
      </c>
      <c r="AL16" s="236">
        <f t="shared" si="7"/>
        <v>0</v>
      </c>
      <c r="AM16" s="236">
        <f t="shared" si="7"/>
        <v>0</v>
      </c>
      <c r="AN16" s="236">
        <f t="shared" si="7"/>
        <v>0</v>
      </c>
      <c r="AO16" s="236">
        <f t="shared" si="7"/>
        <v>0</v>
      </c>
      <c r="AP16" s="236">
        <f t="shared" si="7"/>
        <v>0</v>
      </c>
      <c r="AQ16" s="236">
        <f t="shared" si="7"/>
        <v>0</v>
      </c>
      <c r="AR16" s="236">
        <f t="shared" si="7"/>
        <v>0</v>
      </c>
      <c r="AS16" s="236">
        <f t="shared" si="7"/>
        <v>0</v>
      </c>
      <c r="AT16" s="236">
        <f t="shared" si="7"/>
        <v>0</v>
      </c>
      <c r="AU16" s="236">
        <f t="shared" si="7"/>
        <v>0</v>
      </c>
      <c r="AV16" s="236">
        <f t="shared" si="7"/>
        <v>0</v>
      </c>
      <c r="AW16" s="236">
        <f t="shared" si="7"/>
        <v>0</v>
      </c>
      <c r="AX16" s="236">
        <f t="shared" si="7"/>
        <v>0</v>
      </c>
      <c r="AY16" s="236">
        <f t="shared" si="7"/>
        <v>0</v>
      </c>
      <c r="AZ16" s="236">
        <f t="shared" si="7"/>
        <v>0</v>
      </c>
      <c r="BA16" s="236">
        <f t="shared" si="7"/>
        <v>0</v>
      </c>
      <c r="BB16" s="236">
        <f t="shared" si="7"/>
        <v>0</v>
      </c>
      <c r="BC16" s="236">
        <f t="shared" si="7"/>
        <v>0</v>
      </c>
      <c r="BD16" s="236">
        <f t="shared" si="7"/>
        <v>0</v>
      </c>
      <c r="BE16" s="236">
        <f t="shared" si="7"/>
        <v>0</v>
      </c>
      <c r="BF16" s="236">
        <f t="shared" si="7"/>
        <v>0</v>
      </c>
      <c r="BG16" s="236">
        <f t="shared" si="7"/>
        <v>0</v>
      </c>
      <c r="BH16" s="236">
        <f t="shared" si="7"/>
        <v>0</v>
      </c>
      <c r="BI16" s="236">
        <f t="shared" si="7"/>
        <v>0</v>
      </c>
      <c r="BJ16" s="236">
        <f t="shared" si="7"/>
        <v>0</v>
      </c>
      <c r="BK16" s="236">
        <f t="shared" si="7"/>
        <v>0</v>
      </c>
      <c r="BL16" s="236">
        <f t="shared" si="7"/>
        <v>0</v>
      </c>
      <c r="BM16" s="236">
        <f t="shared" si="7"/>
        <v>0</v>
      </c>
      <c r="BN16" s="236">
        <f t="shared" si="7"/>
        <v>0</v>
      </c>
      <c r="BO16" s="236">
        <f t="shared" si="7"/>
        <v>0</v>
      </c>
      <c r="BP16" s="236">
        <f t="shared" si="7"/>
        <v>0</v>
      </c>
      <c r="BQ16" s="236">
        <f t="shared" si="7"/>
        <v>0</v>
      </c>
      <c r="BR16" s="236">
        <f t="shared" si="7"/>
        <v>0</v>
      </c>
      <c r="BS16" s="236">
        <f t="shared" si="7"/>
        <v>0</v>
      </c>
      <c r="BT16" s="236">
        <f t="shared" si="7"/>
        <v>0</v>
      </c>
      <c r="BU16" s="236">
        <f t="shared" si="7"/>
        <v>0</v>
      </c>
      <c r="BV16" s="236">
        <f t="shared" si="7"/>
        <v>0</v>
      </c>
      <c r="BW16" s="236">
        <f t="shared" si="7"/>
        <v>0</v>
      </c>
      <c r="BX16" s="236">
        <f t="shared" si="7"/>
        <v>0</v>
      </c>
      <c r="BY16" s="236">
        <f t="shared" si="7"/>
        <v>0</v>
      </c>
      <c r="BZ16" s="236">
        <f t="shared" si="7"/>
        <v>0</v>
      </c>
      <c r="CA16" s="236">
        <f t="shared" si="7"/>
        <v>0</v>
      </c>
      <c r="CB16" s="236">
        <f t="shared" si="7"/>
        <v>0</v>
      </c>
      <c r="CC16" s="236">
        <f t="shared" si="7"/>
        <v>0</v>
      </c>
      <c r="CD16" s="236">
        <f t="shared" si="7"/>
        <v>0</v>
      </c>
      <c r="CE16" s="236">
        <f t="shared" si="7"/>
        <v>0</v>
      </c>
      <c r="CF16" s="236">
        <f t="shared" si="7"/>
        <v>0</v>
      </c>
      <c r="CG16" s="236">
        <f t="shared" si="7"/>
        <v>0</v>
      </c>
      <c r="CH16" s="236">
        <f t="shared" si="7"/>
        <v>0</v>
      </c>
      <c r="CI16" s="236">
        <f t="shared" si="7"/>
        <v>0</v>
      </c>
      <c r="CJ16" s="236">
        <f t="shared" si="7"/>
        <v>0</v>
      </c>
      <c r="CK16" s="236">
        <f t="shared" si="7"/>
        <v>0</v>
      </c>
      <c r="CL16" s="236">
        <f t="shared" si="7"/>
        <v>0</v>
      </c>
      <c r="CM16" s="236">
        <f t="shared" ref="CM16:DC16" si="8">CM8*((CM13*CM14*CM15)/792)</f>
        <v>0</v>
      </c>
      <c r="CN16" s="236">
        <f t="shared" si="8"/>
        <v>0</v>
      </c>
      <c r="CO16" s="236">
        <f t="shared" si="8"/>
        <v>0</v>
      </c>
      <c r="CP16" s="236">
        <f t="shared" si="8"/>
        <v>0</v>
      </c>
      <c r="CQ16" s="236">
        <f t="shared" si="8"/>
        <v>0</v>
      </c>
      <c r="CR16" s="236">
        <f t="shared" si="8"/>
        <v>0</v>
      </c>
      <c r="CS16" s="236">
        <f t="shared" si="8"/>
        <v>0</v>
      </c>
      <c r="CT16" s="236">
        <f t="shared" si="8"/>
        <v>0</v>
      </c>
      <c r="CU16" s="236">
        <f t="shared" si="8"/>
        <v>0</v>
      </c>
      <c r="CV16" s="236">
        <f t="shared" si="8"/>
        <v>0</v>
      </c>
      <c r="CW16" s="236">
        <f t="shared" si="8"/>
        <v>0</v>
      </c>
      <c r="CX16" s="236">
        <f t="shared" si="8"/>
        <v>0</v>
      </c>
      <c r="CY16" s="236">
        <f t="shared" si="8"/>
        <v>0</v>
      </c>
      <c r="CZ16" s="236">
        <f t="shared" si="8"/>
        <v>0</v>
      </c>
      <c r="DA16" s="236">
        <f t="shared" si="8"/>
        <v>0</v>
      </c>
      <c r="DB16" s="236">
        <f t="shared" si="8"/>
        <v>0</v>
      </c>
      <c r="DC16" s="236">
        <f t="shared" si="8"/>
        <v>0</v>
      </c>
    </row>
    <row r="17" spans="2:107" ht="15" customHeight="1" x14ac:dyDescent="0.25">
      <c r="B17" s="901"/>
      <c r="C17" s="225" t="s">
        <v>4224</v>
      </c>
      <c r="D17" s="225"/>
      <c r="E17" s="225"/>
      <c r="F17" s="232" t="s">
        <v>4225</v>
      </c>
      <c r="G17" s="237" t="str">
        <f>IF(COUNTA(H17:DC17)=0,"",IF(OR(LARGE(H17:DC17,1)&gt;1,SMALL(H17:DC17,1)&lt;0),"ERRO",""))</f>
        <v/>
      </c>
      <c r="H17" s="242">
        <f>IF(H8=0,0,H16/H8)</f>
        <v>0</v>
      </c>
      <c r="I17" s="242">
        <f t="shared" ref="I17:Z17" si="9">IF(I8=0,0,I16/I8)</f>
        <v>0</v>
      </c>
      <c r="J17" s="242">
        <f t="shared" si="9"/>
        <v>0</v>
      </c>
      <c r="K17" s="242">
        <f t="shared" si="9"/>
        <v>0</v>
      </c>
      <c r="L17" s="242">
        <f t="shared" si="9"/>
        <v>0</v>
      </c>
      <c r="M17" s="242">
        <f t="shared" si="9"/>
        <v>0</v>
      </c>
      <c r="N17" s="242">
        <f t="shared" si="9"/>
        <v>0</v>
      </c>
      <c r="O17" s="242">
        <f t="shared" si="9"/>
        <v>0</v>
      </c>
      <c r="P17" s="242">
        <f t="shared" si="9"/>
        <v>0</v>
      </c>
      <c r="Q17" s="242">
        <f t="shared" si="9"/>
        <v>0</v>
      </c>
      <c r="R17" s="242">
        <f t="shared" si="9"/>
        <v>0</v>
      </c>
      <c r="S17" s="242">
        <f t="shared" si="9"/>
        <v>0</v>
      </c>
      <c r="T17" s="242">
        <f t="shared" si="9"/>
        <v>0</v>
      </c>
      <c r="U17" s="242">
        <f t="shared" si="9"/>
        <v>0</v>
      </c>
      <c r="V17" s="242">
        <f t="shared" si="9"/>
        <v>0</v>
      </c>
      <c r="W17" s="242">
        <f t="shared" si="9"/>
        <v>0</v>
      </c>
      <c r="X17" s="242">
        <f t="shared" si="9"/>
        <v>0</v>
      </c>
      <c r="Y17" s="242">
        <f t="shared" si="9"/>
        <v>0</v>
      </c>
      <c r="Z17" s="242">
        <f t="shared" si="9"/>
        <v>0</v>
      </c>
      <c r="AA17" s="242">
        <f t="shared" ref="AA17:CL17" si="10">IF(AA8=0,0,AA16/AA8)</f>
        <v>0</v>
      </c>
      <c r="AB17" s="242">
        <f t="shared" si="10"/>
        <v>0</v>
      </c>
      <c r="AC17" s="242">
        <f t="shared" si="10"/>
        <v>0</v>
      </c>
      <c r="AD17" s="242">
        <f t="shared" si="10"/>
        <v>0</v>
      </c>
      <c r="AE17" s="242">
        <f t="shared" si="10"/>
        <v>0</v>
      </c>
      <c r="AF17" s="242">
        <f t="shared" si="10"/>
        <v>0</v>
      </c>
      <c r="AG17" s="242">
        <f t="shared" si="10"/>
        <v>0</v>
      </c>
      <c r="AH17" s="242">
        <f t="shared" si="10"/>
        <v>0</v>
      </c>
      <c r="AI17" s="242">
        <f t="shared" si="10"/>
        <v>0</v>
      </c>
      <c r="AJ17" s="242">
        <f t="shared" si="10"/>
        <v>0</v>
      </c>
      <c r="AK17" s="242">
        <f t="shared" si="10"/>
        <v>0</v>
      </c>
      <c r="AL17" s="242">
        <f t="shared" si="10"/>
        <v>0</v>
      </c>
      <c r="AM17" s="242">
        <f t="shared" si="10"/>
        <v>0</v>
      </c>
      <c r="AN17" s="242">
        <f t="shared" si="10"/>
        <v>0</v>
      </c>
      <c r="AO17" s="242">
        <f t="shared" si="10"/>
        <v>0</v>
      </c>
      <c r="AP17" s="242">
        <f t="shared" si="10"/>
        <v>0</v>
      </c>
      <c r="AQ17" s="242">
        <f t="shared" si="10"/>
        <v>0</v>
      </c>
      <c r="AR17" s="242">
        <f t="shared" si="10"/>
        <v>0</v>
      </c>
      <c r="AS17" s="242">
        <f t="shared" si="10"/>
        <v>0</v>
      </c>
      <c r="AT17" s="242">
        <f t="shared" si="10"/>
        <v>0</v>
      </c>
      <c r="AU17" s="242">
        <f t="shared" si="10"/>
        <v>0</v>
      </c>
      <c r="AV17" s="242">
        <f t="shared" si="10"/>
        <v>0</v>
      </c>
      <c r="AW17" s="242">
        <f t="shared" si="10"/>
        <v>0</v>
      </c>
      <c r="AX17" s="242">
        <f t="shared" si="10"/>
        <v>0</v>
      </c>
      <c r="AY17" s="242">
        <f t="shared" si="10"/>
        <v>0</v>
      </c>
      <c r="AZ17" s="242">
        <f t="shared" si="10"/>
        <v>0</v>
      </c>
      <c r="BA17" s="242">
        <f t="shared" si="10"/>
        <v>0</v>
      </c>
      <c r="BB17" s="242">
        <f t="shared" si="10"/>
        <v>0</v>
      </c>
      <c r="BC17" s="242">
        <f t="shared" si="10"/>
        <v>0</v>
      </c>
      <c r="BD17" s="242">
        <f t="shared" si="10"/>
        <v>0</v>
      </c>
      <c r="BE17" s="242">
        <f t="shared" si="10"/>
        <v>0</v>
      </c>
      <c r="BF17" s="242">
        <f t="shared" si="10"/>
        <v>0</v>
      </c>
      <c r="BG17" s="242">
        <f t="shared" si="10"/>
        <v>0</v>
      </c>
      <c r="BH17" s="242">
        <f t="shared" si="10"/>
        <v>0</v>
      </c>
      <c r="BI17" s="242">
        <f t="shared" si="10"/>
        <v>0</v>
      </c>
      <c r="BJ17" s="242">
        <f t="shared" si="10"/>
        <v>0</v>
      </c>
      <c r="BK17" s="242">
        <f t="shared" si="10"/>
        <v>0</v>
      </c>
      <c r="BL17" s="242">
        <f t="shared" si="10"/>
        <v>0</v>
      </c>
      <c r="BM17" s="242">
        <f t="shared" si="10"/>
        <v>0</v>
      </c>
      <c r="BN17" s="242">
        <f t="shared" si="10"/>
        <v>0</v>
      </c>
      <c r="BO17" s="242">
        <f t="shared" si="10"/>
        <v>0</v>
      </c>
      <c r="BP17" s="242">
        <f t="shared" si="10"/>
        <v>0</v>
      </c>
      <c r="BQ17" s="242">
        <f t="shared" si="10"/>
        <v>0</v>
      </c>
      <c r="BR17" s="242">
        <f t="shared" si="10"/>
        <v>0</v>
      </c>
      <c r="BS17" s="242">
        <f t="shared" si="10"/>
        <v>0</v>
      </c>
      <c r="BT17" s="242">
        <f t="shared" si="10"/>
        <v>0</v>
      </c>
      <c r="BU17" s="242">
        <f t="shared" si="10"/>
        <v>0</v>
      </c>
      <c r="BV17" s="242">
        <f t="shared" si="10"/>
        <v>0</v>
      </c>
      <c r="BW17" s="242">
        <f t="shared" si="10"/>
        <v>0</v>
      </c>
      <c r="BX17" s="242">
        <f t="shared" si="10"/>
        <v>0</v>
      </c>
      <c r="BY17" s="242">
        <f t="shared" si="10"/>
        <v>0</v>
      </c>
      <c r="BZ17" s="242">
        <f t="shared" si="10"/>
        <v>0</v>
      </c>
      <c r="CA17" s="242">
        <f t="shared" si="10"/>
        <v>0</v>
      </c>
      <c r="CB17" s="242">
        <f t="shared" si="10"/>
        <v>0</v>
      </c>
      <c r="CC17" s="242">
        <f t="shared" si="10"/>
        <v>0</v>
      </c>
      <c r="CD17" s="242">
        <f t="shared" si="10"/>
        <v>0</v>
      </c>
      <c r="CE17" s="242">
        <f t="shared" si="10"/>
        <v>0</v>
      </c>
      <c r="CF17" s="242">
        <f t="shared" si="10"/>
        <v>0</v>
      </c>
      <c r="CG17" s="242">
        <f t="shared" si="10"/>
        <v>0</v>
      </c>
      <c r="CH17" s="242">
        <f t="shared" si="10"/>
        <v>0</v>
      </c>
      <c r="CI17" s="242">
        <f t="shared" si="10"/>
        <v>0</v>
      </c>
      <c r="CJ17" s="242">
        <f t="shared" si="10"/>
        <v>0</v>
      </c>
      <c r="CK17" s="242">
        <f t="shared" si="10"/>
        <v>0</v>
      </c>
      <c r="CL17" s="242">
        <f t="shared" si="10"/>
        <v>0</v>
      </c>
      <c r="CM17" s="242">
        <f t="shared" ref="CM17:DC17" si="11">IF(CM8=0,0,CM16/CM8)</f>
        <v>0</v>
      </c>
      <c r="CN17" s="242">
        <f t="shared" si="11"/>
        <v>0</v>
      </c>
      <c r="CO17" s="242">
        <f t="shared" si="11"/>
        <v>0</v>
      </c>
      <c r="CP17" s="242">
        <f t="shared" si="11"/>
        <v>0</v>
      </c>
      <c r="CQ17" s="242">
        <f t="shared" si="11"/>
        <v>0</v>
      </c>
      <c r="CR17" s="242">
        <f t="shared" si="11"/>
        <v>0</v>
      </c>
      <c r="CS17" s="242">
        <f t="shared" si="11"/>
        <v>0</v>
      </c>
      <c r="CT17" s="242">
        <f t="shared" si="11"/>
        <v>0</v>
      </c>
      <c r="CU17" s="242">
        <f t="shared" si="11"/>
        <v>0</v>
      </c>
      <c r="CV17" s="242">
        <f t="shared" si="11"/>
        <v>0</v>
      </c>
      <c r="CW17" s="242">
        <f t="shared" si="11"/>
        <v>0</v>
      </c>
      <c r="CX17" s="242">
        <f t="shared" si="11"/>
        <v>0</v>
      </c>
      <c r="CY17" s="242">
        <f t="shared" si="11"/>
        <v>0</v>
      </c>
      <c r="CZ17" s="242">
        <f t="shared" si="11"/>
        <v>0</v>
      </c>
      <c r="DA17" s="242">
        <f t="shared" si="11"/>
        <v>0</v>
      </c>
      <c r="DB17" s="242">
        <f t="shared" si="11"/>
        <v>0</v>
      </c>
      <c r="DC17" s="242">
        <f t="shared" si="11"/>
        <v>0</v>
      </c>
    </row>
    <row r="18" spans="2:107" ht="15" customHeight="1" x14ac:dyDescent="0.25">
      <c r="B18" s="515">
        <v>8</v>
      </c>
      <c r="C18" s="225" t="s">
        <v>4226</v>
      </c>
      <c r="D18" s="225"/>
      <c r="E18" s="231" t="s">
        <v>3854</v>
      </c>
      <c r="F18" s="232" t="s">
        <v>4227</v>
      </c>
      <c r="G18" s="554">
        <f>SUM(H18:DC18)</f>
        <v>0</v>
      </c>
      <c r="H18" s="241">
        <f>(H8*H9*H12)/1000</f>
        <v>0</v>
      </c>
      <c r="I18" s="241">
        <f t="shared" ref="I18:Z18" si="12">(I8*I9*I12)/1000</f>
        <v>0</v>
      </c>
      <c r="J18" s="241">
        <f t="shared" si="12"/>
        <v>0</v>
      </c>
      <c r="K18" s="241">
        <f t="shared" si="12"/>
        <v>0</v>
      </c>
      <c r="L18" s="241">
        <f t="shared" si="12"/>
        <v>0</v>
      </c>
      <c r="M18" s="241">
        <f t="shared" si="12"/>
        <v>0</v>
      </c>
      <c r="N18" s="241">
        <f t="shared" si="12"/>
        <v>0</v>
      </c>
      <c r="O18" s="241">
        <f t="shared" si="12"/>
        <v>0</v>
      </c>
      <c r="P18" s="241">
        <f t="shared" si="12"/>
        <v>0</v>
      </c>
      <c r="Q18" s="241">
        <f t="shared" si="12"/>
        <v>0</v>
      </c>
      <c r="R18" s="241">
        <f t="shared" si="12"/>
        <v>0</v>
      </c>
      <c r="S18" s="241">
        <f t="shared" si="12"/>
        <v>0</v>
      </c>
      <c r="T18" s="241">
        <f t="shared" si="12"/>
        <v>0</v>
      </c>
      <c r="U18" s="241">
        <f t="shared" si="12"/>
        <v>0</v>
      </c>
      <c r="V18" s="241">
        <f t="shared" si="12"/>
        <v>0</v>
      </c>
      <c r="W18" s="241">
        <f t="shared" si="12"/>
        <v>0</v>
      </c>
      <c r="X18" s="241">
        <f t="shared" si="12"/>
        <v>0</v>
      </c>
      <c r="Y18" s="241">
        <f t="shared" si="12"/>
        <v>0</v>
      </c>
      <c r="Z18" s="241">
        <f t="shared" si="12"/>
        <v>0</v>
      </c>
      <c r="AA18" s="241">
        <f t="shared" ref="AA18:CL18" si="13">(AA8*AA9*AA12)/1000</f>
        <v>0</v>
      </c>
      <c r="AB18" s="241">
        <f t="shared" si="13"/>
        <v>0</v>
      </c>
      <c r="AC18" s="241">
        <f t="shared" si="13"/>
        <v>0</v>
      </c>
      <c r="AD18" s="241">
        <f t="shared" si="13"/>
        <v>0</v>
      </c>
      <c r="AE18" s="241">
        <f t="shared" si="13"/>
        <v>0</v>
      </c>
      <c r="AF18" s="241">
        <f t="shared" si="13"/>
        <v>0</v>
      </c>
      <c r="AG18" s="241">
        <f t="shared" si="13"/>
        <v>0</v>
      </c>
      <c r="AH18" s="241">
        <f t="shared" si="13"/>
        <v>0</v>
      </c>
      <c r="AI18" s="241">
        <f t="shared" si="13"/>
        <v>0</v>
      </c>
      <c r="AJ18" s="241">
        <f t="shared" si="13"/>
        <v>0</v>
      </c>
      <c r="AK18" s="241">
        <f t="shared" si="13"/>
        <v>0</v>
      </c>
      <c r="AL18" s="241">
        <f t="shared" si="13"/>
        <v>0</v>
      </c>
      <c r="AM18" s="241">
        <f t="shared" si="13"/>
        <v>0</v>
      </c>
      <c r="AN18" s="241">
        <f t="shared" si="13"/>
        <v>0</v>
      </c>
      <c r="AO18" s="241">
        <f t="shared" si="13"/>
        <v>0</v>
      </c>
      <c r="AP18" s="241">
        <f t="shared" si="13"/>
        <v>0</v>
      </c>
      <c r="AQ18" s="241">
        <f t="shared" si="13"/>
        <v>0</v>
      </c>
      <c r="AR18" s="241">
        <f t="shared" si="13"/>
        <v>0</v>
      </c>
      <c r="AS18" s="241">
        <f t="shared" si="13"/>
        <v>0</v>
      </c>
      <c r="AT18" s="241">
        <f t="shared" si="13"/>
        <v>0</v>
      </c>
      <c r="AU18" s="241">
        <f t="shared" si="13"/>
        <v>0</v>
      </c>
      <c r="AV18" s="241">
        <f t="shared" si="13"/>
        <v>0</v>
      </c>
      <c r="AW18" s="241">
        <f t="shared" si="13"/>
        <v>0</v>
      </c>
      <c r="AX18" s="241">
        <f t="shared" si="13"/>
        <v>0</v>
      </c>
      <c r="AY18" s="241">
        <f t="shared" si="13"/>
        <v>0</v>
      </c>
      <c r="AZ18" s="241">
        <f t="shared" si="13"/>
        <v>0</v>
      </c>
      <c r="BA18" s="241">
        <f t="shared" si="13"/>
        <v>0</v>
      </c>
      <c r="BB18" s="241">
        <f t="shared" si="13"/>
        <v>0</v>
      </c>
      <c r="BC18" s="241">
        <f t="shared" si="13"/>
        <v>0</v>
      </c>
      <c r="BD18" s="241">
        <f t="shared" si="13"/>
        <v>0</v>
      </c>
      <c r="BE18" s="241">
        <f t="shared" si="13"/>
        <v>0</v>
      </c>
      <c r="BF18" s="241">
        <f t="shared" si="13"/>
        <v>0</v>
      </c>
      <c r="BG18" s="241">
        <f t="shared" si="13"/>
        <v>0</v>
      </c>
      <c r="BH18" s="241">
        <f t="shared" si="13"/>
        <v>0</v>
      </c>
      <c r="BI18" s="241">
        <f t="shared" si="13"/>
        <v>0</v>
      </c>
      <c r="BJ18" s="241">
        <f t="shared" si="13"/>
        <v>0</v>
      </c>
      <c r="BK18" s="241">
        <f t="shared" si="13"/>
        <v>0</v>
      </c>
      <c r="BL18" s="241">
        <f t="shared" si="13"/>
        <v>0</v>
      </c>
      <c r="BM18" s="241">
        <f t="shared" si="13"/>
        <v>0</v>
      </c>
      <c r="BN18" s="241">
        <f t="shared" si="13"/>
        <v>0</v>
      </c>
      <c r="BO18" s="241">
        <f t="shared" si="13"/>
        <v>0</v>
      </c>
      <c r="BP18" s="241">
        <f t="shared" si="13"/>
        <v>0</v>
      </c>
      <c r="BQ18" s="241">
        <f t="shared" si="13"/>
        <v>0</v>
      </c>
      <c r="BR18" s="241">
        <f t="shared" si="13"/>
        <v>0</v>
      </c>
      <c r="BS18" s="241">
        <f t="shared" si="13"/>
        <v>0</v>
      </c>
      <c r="BT18" s="241">
        <f t="shared" si="13"/>
        <v>0</v>
      </c>
      <c r="BU18" s="241">
        <f t="shared" si="13"/>
        <v>0</v>
      </c>
      <c r="BV18" s="241">
        <f t="shared" si="13"/>
        <v>0</v>
      </c>
      <c r="BW18" s="241">
        <f t="shared" si="13"/>
        <v>0</v>
      </c>
      <c r="BX18" s="241">
        <f t="shared" si="13"/>
        <v>0</v>
      </c>
      <c r="BY18" s="241">
        <f t="shared" si="13"/>
        <v>0</v>
      </c>
      <c r="BZ18" s="241">
        <f t="shared" si="13"/>
        <v>0</v>
      </c>
      <c r="CA18" s="241">
        <f t="shared" si="13"/>
        <v>0</v>
      </c>
      <c r="CB18" s="241">
        <f t="shared" si="13"/>
        <v>0</v>
      </c>
      <c r="CC18" s="241">
        <f t="shared" si="13"/>
        <v>0</v>
      </c>
      <c r="CD18" s="241">
        <f t="shared" si="13"/>
        <v>0</v>
      </c>
      <c r="CE18" s="241">
        <f t="shared" si="13"/>
        <v>0</v>
      </c>
      <c r="CF18" s="241">
        <f t="shared" si="13"/>
        <v>0</v>
      </c>
      <c r="CG18" s="241">
        <f t="shared" si="13"/>
        <v>0</v>
      </c>
      <c r="CH18" s="241">
        <f t="shared" si="13"/>
        <v>0</v>
      </c>
      <c r="CI18" s="241">
        <f t="shared" si="13"/>
        <v>0</v>
      </c>
      <c r="CJ18" s="241">
        <f t="shared" si="13"/>
        <v>0</v>
      </c>
      <c r="CK18" s="241">
        <f t="shared" si="13"/>
        <v>0</v>
      </c>
      <c r="CL18" s="241">
        <f t="shared" si="13"/>
        <v>0</v>
      </c>
      <c r="CM18" s="241">
        <f t="shared" ref="CM18:DC18" si="14">(CM8*CM9*CM12)/1000</f>
        <v>0</v>
      </c>
      <c r="CN18" s="241">
        <f t="shared" si="14"/>
        <v>0</v>
      </c>
      <c r="CO18" s="241">
        <f t="shared" si="14"/>
        <v>0</v>
      </c>
      <c r="CP18" s="241">
        <f t="shared" si="14"/>
        <v>0</v>
      </c>
      <c r="CQ18" s="241">
        <f t="shared" si="14"/>
        <v>0</v>
      </c>
      <c r="CR18" s="241">
        <f t="shared" si="14"/>
        <v>0</v>
      </c>
      <c r="CS18" s="241">
        <f t="shared" si="14"/>
        <v>0</v>
      </c>
      <c r="CT18" s="241">
        <f t="shared" si="14"/>
        <v>0</v>
      </c>
      <c r="CU18" s="241">
        <f t="shared" si="14"/>
        <v>0</v>
      </c>
      <c r="CV18" s="241">
        <f t="shared" si="14"/>
        <v>0</v>
      </c>
      <c r="CW18" s="241">
        <f t="shared" si="14"/>
        <v>0</v>
      </c>
      <c r="CX18" s="241">
        <f t="shared" si="14"/>
        <v>0</v>
      </c>
      <c r="CY18" s="241">
        <f t="shared" si="14"/>
        <v>0</v>
      </c>
      <c r="CZ18" s="241">
        <f t="shared" si="14"/>
        <v>0</v>
      </c>
      <c r="DA18" s="241">
        <f t="shared" si="14"/>
        <v>0</v>
      </c>
      <c r="DB18" s="241">
        <f t="shared" si="14"/>
        <v>0</v>
      </c>
      <c r="DC18" s="241">
        <f t="shared" si="14"/>
        <v>0</v>
      </c>
    </row>
    <row r="19" spans="2:107" ht="15" customHeight="1" x14ac:dyDescent="0.25">
      <c r="B19" s="515">
        <v>9</v>
      </c>
      <c r="C19" s="225" t="s">
        <v>4228</v>
      </c>
      <c r="D19" s="225"/>
      <c r="E19" s="226" t="s">
        <v>3857</v>
      </c>
      <c r="F19" s="232" t="s">
        <v>4229</v>
      </c>
      <c r="G19" s="243">
        <f>SUM(H19:DC19)</f>
        <v>0</v>
      </c>
      <c r="H19" s="244">
        <f>H8*H9*H17</f>
        <v>0</v>
      </c>
      <c r="I19" s="244">
        <f t="shared" ref="I19:Z19" si="15">I8*I9*I17</f>
        <v>0</v>
      </c>
      <c r="J19" s="244">
        <f t="shared" si="15"/>
        <v>0</v>
      </c>
      <c r="K19" s="244">
        <f t="shared" si="15"/>
        <v>0</v>
      </c>
      <c r="L19" s="244">
        <f t="shared" si="15"/>
        <v>0</v>
      </c>
      <c r="M19" s="244">
        <f t="shared" si="15"/>
        <v>0</v>
      </c>
      <c r="N19" s="244">
        <f t="shared" si="15"/>
        <v>0</v>
      </c>
      <c r="O19" s="244">
        <f t="shared" si="15"/>
        <v>0</v>
      </c>
      <c r="P19" s="244">
        <f t="shared" si="15"/>
        <v>0</v>
      </c>
      <c r="Q19" s="244">
        <f t="shared" si="15"/>
        <v>0</v>
      </c>
      <c r="R19" s="244">
        <f t="shared" si="15"/>
        <v>0</v>
      </c>
      <c r="S19" s="244">
        <f t="shared" si="15"/>
        <v>0</v>
      </c>
      <c r="T19" s="244">
        <f t="shared" si="15"/>
        <v>0</v>
      </c>
      <c r="U19" s="244">
        <f t="shared" si="15"/>
        <v>0</v>
      </c>
      <c r="V19" s="244">
        <f t="shared" si="15"/>
        <v>0</v>
      </c>
      <c r="W19" s="244">
        <f t="shared" si="15"/>
        <v>0</v>
      </c>
      <c r="X19" s="244">
        <f t="shared" si="15"/>
        <v>0</v>
      </c>
      <c r="Y19" s="244">
        <f t="shared" si="15"/>
        <v>0</v>
      </c>
      <c r="Z19" s="244">
        <f t="shared" si="15"/>
        <v>0</v>
      </c>
      <c r="AA19" s="244">
        <f t="shared" ref="AA19:CL19" si="16">AA8*AA9*AA17</f>
        <v>0</v>
      </c>
      <c r="AB19" s="244">
        <f t="shared" si="16"/>
        <v>0</v>
      </c>
      <c r="AC19" s="244">
        <f t="shared" si="16"/>
        <v>0</v>
      </c>
      <c r="AD19" s="244">
        <f t="shared" si="16"/>
        <v>0</v>
      </c>
      <c r="AE19" s="244">
        <f t="shared" si="16"/>
        <v>0</v>
      </c>
      <c r="AF19" s="244">
        <f t="shared" si="16"/>
        <v>0</v>
      </c>
      <c r="AG19" s="244">
        <f t="shared" si="16"/>
        <v>0</v>
      </c>
      <c r="AH19" s="244">
        <f t="shared" si="16"/>
        <v>0</v>
      </c>
      <c r="AI19" s="244">
        <f t="shared" si="16"/>
        <v>0</v>
      </c>
      <c r="AJ19" s="244">
        <f t="shared" si="16"/>
        <v>0</v>
      </c>
      <c r="AK19" s="244">
        <f t="shared" si="16"/>
        <v>0</v>
      </c>
      <c r="AL19" s="244">
        <f t="shared" si="16"/>
        <v>0</v>
      </c>
      <c r="AM19" s="244">
        <f t="shared" si="16"/>
        <v>0</v>
      </c>
      <c r="AN19" s="244">
        <f t="shared" si="16"/>
        <v>0</v>
      </c>
      <c r="AO19" s="244">
        <f t="shared" si="16"/>
        <v>0</v>
      </c>
      <c r="AP19" s="244">
        <f t="shared" si="16"/>
        <v>0</v>
      </c>
      <c r="AQ19" s="244">
        <f t="shared" si="16"/>
        <v>0</v>
      </c>
      <c r="AR19" s="244">
        <f t="shared" si="16"/>
        <v>0</v>
      </c>
      <c r="AS19" s="244">
        <f t="shared" si="16"/>
        <v>0</v>
      </c>
      <c r="AT19" s="244">
        <f t="shared" si="16"/>
        <v>0</v>
      </c>
      <c r="AU19" s="244">
        <f t="shared" si="16"/>
        <v>0</v>
      </c>
      <c r="AV19" s="244">
        <f t="shared" si="16"/>
        <v>0</v>
      </c>
      <c r="AW19" s="244">
        <f t="shared" si="16"/>
        <v>0</v>
      </c>
      <c r="AX19" s="244">
        <f t="shared" si="16"/>
        <v>0</v>
      </c>
      <c r="AY19" s="244">
        <f t="shared" si="16"/>
        <v>0</v>
      </c>
      <c r="AZ19" s="244">
        <f t="shared" si="16"/>
        <v>0</v>
      </c>
      <c r="BA19" s="244">
        <f t="shared" si="16"/>
        <v>0</v>
      </c>
      <c r="BB19" s="244">
        <f t="shared" si="16"/>
        <v>0</v>
      </c>
      <c r="BC19" s="244">
        <f t="shared" si="16"/>
        <v>0</v>
      </c>
      <c r="BD19" s="244">
        <f t="shared" si="16"/>
        <v>0</v>
      </c>
      <c r="BE19" s="244">
        <f t="shared" si="16"/>
        <v>0</v>
      </c>
      <c r="BF19" s="244">
        <f t="shared" si="16"/>
        <v>0</v>
      </c>
      <c r="BG19" s="244">
        <f t="shared" si="16"/>
        <v>0</v>
      </c>
      <c r="BH19" s="244">
        <f t="shared" si="16"/>
        <v>0</v>
      </c>
      <c r="BI19" s="244">
        <f t="shared" si="16"/>
        <v>0</v>
      </c>
      <c r="BJ19" s="244">
        <f t="shared" si="16"/>
        <v>0</v>
      </c>
      <c r="BK19" s="244">
        <f t="shared" si="16"/>
        <v>0</v>
      </c>
      <c r="BL19" s="244">
        <f t="shared" si="16"/>
        <v>0</v>
      </c>
      <c r="BM19" s="244">
        <f t="shared" si="16"/>
        <v>0</v>
      </c>
      <c r="BN19" s="244">
        <f t="shared" si="16"/>
        <v>0</v>
      </c>
      <c r="BO19" s="244">
        <f t="shared" si="16"/>
        <v>0</v>
      </c>
      <c r="BP19" s="244">
        <f t="shared" si="16"/>
        <v>0</v>
      </c>
      <c r="BQ19" s="244">
        <f t="shared" si="16"/>
        <v>0</v>
      </c>
      <c r="BR19" s="244">
        <f t="shared" si="16"/>
        <v>0</v>
      </c>
      <c r="BS19" s="244">
        <f t="shared" si="16"/>
        <v>0</v>
      </c>
      <c r="BT19" s="244">
        <f t="shared" si="16"/>
        <v>0</v>
      </c>
      <c r="BU19" s="244">
        <f t="shared" si="16"/>
        <v>0</v>
      </c>
      <c r="BV19" s="244">
        <f t="shared" si="16"/>
        <v>0</v>
      </c>
      <c r="BW19" s="244">
        <f t="shared" si="16"/>
        <v>0</v>
      </c>
      <c r="BX19" s="244">
        <f t="shared" si="16"/>
        <v>0</v>
      </c>
      <c r="BY19" s="244">
        <f t="shared" si="16"/>
        <v>0</v>
      </c>
      <c r="BZ19" s="244">
        <f t="shared" si="16"/>
        <v>0</v>
      </c>
      <c r="CA19" s="244">
        <f t="shared" si="16"/>
        <v>0</v>
      </c>
      <c r="CB19" s="244">
        <f t="shared" si="16"/>
        <v>0</v>
      </c>
      <c r="CC19" s="244">
        <f t="shared" si="16"/>
        <v>0</v>
      </c>
      <c r="CD19" s="244">
        <f t="shared" si="16"/>
        <v>0</v>
      </c>
      <c r="CE19" s="244">
        <f t="shared" si="16"/>
        <v>0</v>
      </c>
      <c r="CF19" s="244">
        <f t="shared" si="16"/>
        <v>0</v>
      </c>
      <c r="CG19" s="244">
        <f t="shared" si="16"/>
        <v>0</v>
      </c>
      <c r="CH19" s="244">
        <f t="shared" si="16"/>
        <v>0</v>
      </c>
      <c r="CI19" s="244">
        <f t="shared" si="16"/>
        <v>0</v>
      </c>
      <c r="CJ19" s="244">
        <f t="shared" si="16"/>
        <v>0</v>
      </c>
      <c r="CK19" s="244">
        <f t="shared" si="16"/>
        <v>0</v>
      </c>
      <c r="CL19" s="244">
        <f t="shared" si="16"/>
        <v>0</v>
      </c>
      <c r="CM19" s="244">
        <f t="shared" ref="CM19:DC19" si="17">CM8*CM9*CM17</f>
        <v>0</v>
      </c>
      <c r="CN19" s="244">
        <f t="shared" si="17"/>
        <v>0</v>
      </c>
      <c r="CO19" s="244">
        <f t="shared" si="17"/>
        <v>0</v>
      </c>
      <c r="CP19" s="244">
        <f t="shared" si="17"/>
        <v>0</v>
      </c>
      <c r="CQ19" s="244">
        <f t="shared" si="17"/>
        <v>0</v>
      </c>
      <c r="CR19" s="244">
        <f t="shared" si="17"/>
        <v>0</v>
      </c>
      <c r="CS19" s="244">
        <f t="shared" si="17"/>
        <v>0</v>
      </c>
      <c r="CT19" s="244">
        <f t="shared" si="17"/>
        <v>0</v>
      </c>
      <c r="CU19" s="244">
        <f t="shared" si="17"/>
        <v>0</v>
      </c>
      <c r="CV19" s="244">
        <f t="shared" si="17"/>
        <v>0</v>
      </c>
      <c r="CW19" s="244">
        <f t="shared" si="17"/>
        <v>0</v>
      </c>
      <c r="CX19" s="244">
        <f t="shared" si="17"/>
        <v>0</v>
      </c>
      <c r="CY19" s="244">
        <f t="shared" si="17"/>
        <v>0</v>
      </c>
      <c r="CZ19" s="244">
        <f t="shared" si="17"/>
        <v>0</v>
      </c>
      <c r="DA19" s="244">
        <f t="shared" si="17"/>
        <v>0</v>
      </c>
      <c r="DB19" s="244">
        <f t="shared" si="17"/>
        <v>0</v>
      </c>
      <c r="DC19" s="244">
        <f t="shared" si="17"/>
        <v>0</v>
      </c>
    </row>
    <row r="21" spans="2:107" ht="15" customHeight="1" x14ac:dyDescent="0.25">
      <c r="B21" s="649" t="s">
        <v>4840</v>
      </c>
      <c r="C21" s="650"/>
      <c r="D21" s="650"/>
      <c r="E21" s="650"/>
      <c r="F21" s="65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</row>
    <row r="22" spans="2:107" s="103" customFormat="1" ht="15" customHeight="1" x14ac:dyDescent="0.25">
      <c r="B22" s="515"/>
      <c r="C22" s="516"/>
      <c r="D22" s="516"/>
      <c r="E22" s="516"/>
      <c r="F22" s="222"/>
      <c r="G22" s="223" t="s">
        <v>76</v>
      </c>
      <c r="H22" s="224" t="s">
        <v>4739</v>
      </c>
      <c r="I22" s="224" t="s">
        <v>4740</v>
      </c>
      <c r="J22" s="224" t="s">
        <v>4741</v>
      </c>
      <c r="K22" s="224" t="s">
        <v>4742</v>
      </c>
      <c r="L22" s="224" t="s">
        <v>4743</v>
      </c>
      <c r="M22" s="224" t="s">
        <v>4744</v>
      </c>
      <c r="N22" s="224" t="s">
        <v>4745</v>
      </c>
      <c r="O22" s="224" t="s">
        <v>4746</v>
      </c>
      <c r="P22" s="224" t="s">
        <v>4747</v>
      </c>
      <c r="Q22" s="224" t="s">
        <v>4748</v>
      </c>
      <c r="R22" s="224" t="s">
        <v>4749</v>
      </c>
      <c r="S22" s="224" t="s">
        <v>4750</v>
      </c>
      <c r="T22" s="224" t="s">
        <v>4751</v>
      </c>
      <c r="U22" s="224" t="s">
        <v>4752</v>
      </c>
      <c r="V22" s="224" t="s">
        <v>4753</v>
      </c>
      <c r="W22" s="224" t="s">
        <v>4754</v>
      </c>
      <c r="X22" s="224" t="s">
        <v>4755</v>
      </c>
      <c r="Y22" s="224" t="s">
        <v>4756</v>
      </c>
      <c r="Z22" s="224" t="s">
        <v>4757</v>
      </c>
      <c r="AA22" s="224" t="s">
        <v>4758</v>
      </c>
      <c r="AB22" s="224" t="s">
        <v>4759</v>
      </c>
      <c r="AC22" s="224" t="s">
        <v>4760</v>
      </c>
      <c r="AD22" s="224" t="s">
        <v>4761</v>
      </c>
      <c r="AE22" s="224" t="s">
        <v>4762</v>
      </c>
      <c r="AF22" s="224" t="s">
        <v>4763</v>
      </c>
      <c r="AG22" s="224" t="s">
        <v>4764</v>
      </c>
      <c r="AH22" s="224" t="s">
        <v>4765</v>
      </c>
      <c r="AI22" s="224" t="s">
        <v>4766</v>
      </c>
      <c r="AJ22" s="224" t="s">
        <v>4767</v>
      </c>
      <c r="AK22" s="224" t="s">
        <v>4768</v>
      </c>
      <c r="AL22" s="224" t="s">
        <v>4769</v>
      </c>
      <c r="AM22" s="224" t="s">
        <v>4770</v>
      </c>
      <c r="AN22" s="224" t="s">
        <v>4771</v>
      </c>
      <c r="AO22" s="224" t="s">
        <v>4772</v>
      </c>
      <c r="AP22" s="224" t="s">
        <v>4773</v>
      </c>
      <c r="AQ22" s="224" t="s">
        <v>4774</v>
      </c>
      <c r="AR22" s="224" t="s">
        <v>4775</v>
      </c>
      <c r="AS22" s="224" t="s">
        <v>4776</v>
      </c>
      <c r="AT22" s="224" t="s">
        <v>4777</v>
      </c>
      <c r="AU22" s="224" t="s">
        <v>4778</v>
      </c>
      <c r="AV22" s="224" t="s">
        <v>4779</v>
      </c>
      <c r="AW22" s="224" t="s">
        <v>4780</v>
      </c>
      <c r="AX22" s="224" t="s">
        <v>4781</v>
      </c>
      <c r="AY22" s="224" t="s">
        <v>4782</v>
      </c>
      <c r="AZ22" s="224" t="s">
        <v>4783</v>
      </c>
      <c r="BA22" s="224" t="s">
        <v>4784</v>
      </c>
      <c r="BB22" s="224" t="s">
        <v>4785</v>
      </c>
      <c r="BC22" s="224" t="s">
        <v>4786</v>
      </c>
      <c r="BD22" s="224" t="s">
        <v>4787</v>
      </c>
      <c r="BE22" s="224" t="s">
        <v>4788</v>
      </c>
      <c r="BF22" s="224" t="s">
        <v>4789</v>
      </c>
      <c r="BG22" s="224" t="s">
        <v>4790</v>
      </c>
      <c r="BH22" s="224" t="s">
        <v>4791</v>
      </c>
      <c r="BI22" s="224" t="s">
        <v>4792</v>
      </c>
      <c r="BJ22" s="224" t="s">
        <v>4793</v>
      </c>
      <c r="BK22" s="224" t="s">
        <v>4794</v>
      </c>
      <c r="BL22" s="224" t="s">
        <v>4795</v>
      </c>
      <c r="BM22" s="224" t="s">
        <v>4796</v>
      </c>
      <c r="BN22" s="224" t="s">
        <v>4797</v>
      </c>
      <c r="BO22" s="224" t="s">
        <v>4798</v>
      </c>
      <c r="BP22" s="224" t="s">
        <v>4799</v>
      </c>
      <c r="BQ22" s="224" t="s">
        <v>4800</v>
      </c>
      <c r="BR22" s="224" t="s">
        <v>4801</v>
      </c>
      <c r="BS22" s="224" t="s">
        <v>4802</v>
      </c>
      <c r="BT22" s="224" t="s">
        <v>4803</v>
      </c>
      <c r="BU22" s="224" t="s">
        <v>4804</v>
      </c>
      <c r="BV22" s="224" t="s">
        <v>4805</v>
      </c>
      <c r="BW22" s="224" t="s">
        <v>4806</v>
      </c>
      <c r="BX22" s="224" t="s">
        <v>4807</v>
      </c>
      <c r="BY22" s="224" t="s">
        <v>4808</v>
      </c>
      <c r="BZ22" s="224" t="s">
        <v>4809</v>
      </c>
      <c r="CA22" s="224" t="s">
        <v>4810</v>
      </c>
      <c r="CB22" s="224" t="s">
        <v>4811</v>
      </c>
      <c r="CC22" s="224" t="s">
        <v>4812</v>
      </c>
      <c r="CD22" s="224" t="s">
        <v>4813</v>
      </c>
      <c r="CE22" s="224" t="s">
        <v>4814</v>
      </c>
      <c r="CF22" s="224" t="s">
        <v>4815</v>
      </c>
      <c r="CG22" s="224" t="s">
        <v>4816</v>
      </c>
      <c r="CH22" s="224" t="s">
        <v>4817</v>
      </c>
      <c r="CI22" s="224" t="s">
        <v>4818</v>
      </c>
      <c r="CJ22" s="224" t="s">
        <v>4819</v>
      </c>
      <c r="CK22" s="224" t="s">
        <v>4820</v>
      </c>
      <c r="CL22" s="224" t="s">
        <v>4821</v>
      </c>
      <c r="CM22" s="224" t="s">
        <v>4822</v>
      </c>
      <c r="CN22" s="224" t="s">
        <v>4823</v>
      </c>
      <c r="CO22" s="224" t="s">
        <v>4824</v>
      </c>
      <c r="CP22" s="224" t="s">
        <v>4825</v>
      </c>
      <c r="CQ22" s="224" t="s">
        <v>4826</v>
      </c>
      <c r="CR22" s="224" t="s">
        <v>4827</v>
      </c>
      <c r="CS22" s="224" t="s">
        <v>4828</v>
      </c>
      <c r="CT22" s="224" t="s">
        <v>4829</v>
      </c>
      <c r="CU22" s="224" t="s">
        <v>4830</v>
      </c>
      <c r="CV22" s="224" t="s">
        <v>4831</v>
      </c>
      <c r="CW22" s="224" t="s">
        <v>4832</v>
      </c>
      <c r="CX22" s="224" t="s">
        <v>4833</v>
      </c>
      <c r="CY22" s="224" t="s">
        <v>4834</v>
      </c>
      <c r="CZ22" s="224" t="s">
        <v>4835</v>
      </c>
      <c r="DA22" s="224" t="s">
        <v>4836</v>
      </c>
      <c r="DB22" s="224" t="s">
        <v>4837</v>
      </c>
      <c r="DC22" s="224" t="s">
        <v>4838</v>
      </c>
    </row>
    <row r="23" spans="2:107" s="103" customFormat="1" ht="15" customHeight="1" x14ac:dyDescent="0.25">
      <c r="B23" s="515">
        <v>10</v>
      </c>
      <c r="C23" s="307" t="s">
        <v>4195</v>
      </c>
      <c r="D23" s="516"/>
      <c r="E23" s="516"/>
      <c r="F23" s="222"/>
      <c r="G23" s="223"/>
      <c r="H23" s="224" t="str">
        <f>IF(H4="","",H4)</f>
        <v/>
      </c>
      <c r="I23" s="224" t="str">
        <f t="shared" ref="I23:BT23" si="18">IF(I4="","",I4)</f>
        <v/>
      </c>
      <c r="J23" s="224" t="str">
        <f t="shared" si="18"/>
        <v/>
      </c>
      <c r="K23" s="224" t="str">
        <f t="shared" si="18"/>
        <v/>
      </c>
      <c r="L23" s="224" t="str">
        <f t="shared" si="18"/>
        <v/>
      </c>
      <c r="M23" s="224" t="str">
        <f t="shared" si="18"/>
        <v/>
      </c>
      <c r="N23" s="224" t="str">
        <f t="shared" si="18"/>
        <v/>
      </c>
      <c r="O23" s="224" t="str">
        <f t="shared" si="18"/>
        <v/>
      </c>
      <c r="P23" s="224" t="str">
        <f t="shared" si="18"/>
        <v/>
      </c>
      <c r="Q23" s="224" t="str">
        <f t="shared" si="18"/>
        <v/>
      </c>
      <c r="R23" s="224" t="str">
        <f t="shared" si="18"/>
        <v/>
      </c>
      <c r="S23" s="224" t="str">
        <f t="shared" si="18"/>
        <v/>
      </c>
      <c r="T23" s="224" t="str">
        <f t="shared" si="18"/>
        <v/>
      </c>
      <c r="U23" s="224" t="str">
        <f t="shared" si="18"/>
        <v/>
      </c>
      <c r="V23" s="224" t="str">
        <f t="shared" si="18"/>
        <v/>
      </c>
      <c r="W23" s="224" t="str">
        <f t="shared" si="18"/>
        <v/>
      </c>
      <c r="X23" s="224" t="str">
        <f t="shared" si="18"/>
        <v/>
      </c>
      <c r="Y23" s="224" t="str">
        <f t="shared" si="18"/>
        <v/>
      </c>
      <c r="Z23" s="224" t="str">
        <f t="shared" si="18"/>
        <v/>
      </c>
      <c r="AA23" s="224" t="str">
        <f t="shared" si="18"/>
        <v/>
      </c>
      <c r="AB23" s="224" t="str">
        <f t="shared" si="18"/>
        <v/>
      </c>
      <c r="AC23" s="224" t="str">
        <f t="shared" si="18"/>
        <v/>
      </c>
      <c r="AD23" s="224" t="str">
        <f t="shared" si="18"/>
        <v/>
      </c>
      <c r="AE23" s="224" t="str">
        <f t="shared" si="18"/>
        <v/>
      </c>
      <c r="AF23" s="224" t="str">
        <f t="shared" si="18"/>
        <v/>
      </c>
      <c r="AG23" s="224" t="str">
        <f t="shared" si="18"/>
        <v/>
      </c>
      <c r="AH23" s="224" t="str">
        <f t="shared" si="18"/>
        <v/>
      </c>
      <c r="AI23" s="224" t="str">
        <f t="shared" si="18"/>
        <v/>
      </c>
      <c r="AJ23" s="224" t="str">
        <f t="shared" si="18"/>
        <v/>
      </c>
      <c r="AK23" s="224" t="str">
        <f t="shared" si="18"/>
        <v/>
      </c>
      <c r="AL23" s="224" t="str">
        <f t="shared" si="18"/>
        <v/>
      </c>
      <c r="AM23" s="224" t="str">
        <f t="shared" si="18"/>
        <v/>
      </c>
      <c r="AN23" s="224" t="str">
        <f t="shared" si="18"/>
        <v/>
      </c>
      <c r="AO23" s="224" t="str">
        <f t="shared" si="18"/>
        <v/>
      </c>
      <c r="AP23" s="224" t="str">
        <f t="shared" si="18"/>
        <v/>
      </c>
      <c r="AQ23" s="224" t="str">
        <f t="shared" si="18"/>
        <v/>
      </c>
      <c r="AR23" s="224" t="str">
        <f t="shared" si="18"/>
        <v/>
      </c>
      <c r="AS23" s="224" t="str">
        <f t="shared" si="18"/>
        <v/>
      </c>
      <c r="AT23" s="224" t="str">
        <f t="shared" si="18"/>
        <v/>
      </c>
      <c r="AU23" s="224" t="str">
        <f t="shared" si="18"/>
        <v/>
      </c>
      <c r="AV23" s="224" t="str">
        <f t="shared" si="18"/>
        <v/>
      </c>
      <c r="AW23" s="224" t="str">
        <f t="shared" si="18"/>
        <v/>
      </c>
      <c r="AX23" s="224" t="str">
        <f t="shared" si="18"/>
        <v/>
      </c>
      <c r="AY23" s="224" t="str">
        <f t="shared" si="18"/>
        <v/>
      </c>
      <c r="AZ23" s="224" t="str">
        <f t="shared" si="18"/>
        <v/>
      </c>
      <c r="BA23" s="224" t="str">
        <f t="shared" si="18"/>
        <v/>
      </c>
      <c r="BB23" s="224" t="str">
        <f t="shared" si="18"/>
        <v/>
      </c>
      <c r="BC23" s="224" t="str">
        <f t="shared" si="18"/>
        <v/>
      </c>
      <c r="BD23" s="224" t="str">
        <f t="shared" si="18"/>
        <v/>
      </c>
      <c r="BE23" s="224" t="str">
        <f t="shared" si="18"/>
        <v/>
      </c>
      <c r="BF23" s="224" t="str">
        <f t="shared" si="18"/>
        <v/>
      </c>
      <c r="BG23" s="224" t="str">
        <f t="shared" si="18"/>
        <v/>
      </c>
      <c r="BH23" s="224" t="str">
        <f t="shared" si="18"/>
        <v/>
      </c>
      <c r="BI23" s="224" t="str">
        <f t="shared" si="18"/>
        <v/>
      </c>
      <c r="BJ23" s="224" t="str">
        <f t="shared" si="18"/>
        <v/>
      </c>
      <c r="BK23" s="224" t="str">
        <f t="shared" si="18"/>
        <v/>
      </c>
      <c r="BL23" s="224" t="str">
        <f t="shared" si="18"/>
        <v/>
      </c>
      <c r="BM23" s="224" t="str">
        <f t="shared" si="18"/>
        <v/>
      </c>
      <c r="BN23" s="224" t="str">
        <f t="shared" si="18"/>
        <v/>
      </c>
      <c r="BO23" s="224" t="str">
        <f t="shared" si="18"/>
        <v/>
      </c>
      <c r="BP23" s="224" t="str">
        <f t="shared" si="18"/>
        <v/>
      </c>
      <c r="BQ23" s="224" t="str">
        <f t="shared" si="18"/>
        <v/>
      </c>
      <c r="BR23" s="224" t="str">
        <f t="shared" si="18"/>
        <v/>
      </c>
      <c r="BS23" s="224" t="str">
        <f t="shared" si="18"/>
        <v/>
      </c>
      <c r="BT23" s="224" t="str">
        <f t="shared" si="18"/>
        <v/>
      </c>
      <c r="BU23" s="224" t="str">
        <f t="shared" ref="BU23:DC23" si="19">IF(BU4="","",BU4)</f>
        <v/>
      </c>
      <c r="BV23" s="224" t="str">
        <f t="shared" si="19"/>
        <v/>
      </c>
      <c r="BW23" s="224" t="str">
        <f t="shared" si="19"/>
        <v/>
      </c>
      <c r="BX23" s="224" t="str">
        <f t="shared" si="19"/>
        <v/>
      </c>
      <c r="BY23" s="224" t="str">
        <f t="shared" si="19"/>
        <v/>
      </c>
      <c r="BZ23" s="224" t="str">
        <f t="shared" si="19"/>
        <v/>
      </c>
      <c r="CA23" s="224" t="str">
        <f t="shared" si="19"/>
        <v/>
      </c>
      <c r="CB23" s="224" t="str">
        <f t="shared" si="19"/>
        <v/>
      </c>
      <c r="CC23" s="224" t="str">
        <f t="shared" si="19"/>
        <v/>
      </c>
      <c r="CD23" s="224" t="str">
        <f t="shared" si="19"/>
        <v/>
      </c>
      <c r="CE23" s="224" t="str">
        <f t="shared" si="19"/>
        <v/>
      </c>
      <c r="CF23" s="224" t="str">
        <f t="shared" si="19"/>
        <v/>
      </c>
      <c r="CG23" s="224" t="str">
        <f t="shared" si="19"/>
        <v/>
      </c>
      <c r="CH23" s="224" t="str">
        <f t="shared" si="19"/>
        <v/>
      </c>
      <c r="CI23" s="224" t="str">
        <f t="shared" si="19"/>
        <v/>
      </c>
      <c r="CJ23" s="224" t="str">
        <f t="shared" si="19"/>
        <v/>
      </c>
      <c r="CK23" s="224" t="str">
        <f t="shared" si="19"/>
        <v/>
      </c>
      <c r="CL23" s="224" t="str">
        <f t="shared" si="19"/>
        <v/>
      </c>
      <c r="CM23" s="224" t="str">
        <f t="shared" si="19"/>
        <v/>
      </c>
      <c r="CN23" s="224" t="str">
        <f t="shared" si="19"/>
        <v/>
      </c>
      <c r="CO23" s="224" t="str">
        <f t="shared" si="19"/>
        <v/>
      </c>
      <c r="CP23" s="224" t="str">
        <f t="shared" si="19"/>
        <v/>
      </c>
      <c r="CQ23" s="224" t="str">
        <f t="shared" si="19"/>
        <v/>
      </c>
      <c r="CR23" s="224" t="str">
        <f t="shared" si="19"/>
        <v/>
      </c>
      <c r="CS23" s="224" t="str">
        <f t="shared" si="19"/>
        <v/>
      </c>
      <c r="CT23" s="224" t="str">
        <f t="shared" si="19"/>
        <v/>
      </c>
      <c r="CU23" s="224" t="str">
        <f t="shared" si="19"/>
        <v/>
      </c>
      <c r="CV23" s="224" t="str">
        <f t="shared" si="19"/>
        <v/>
      </c>
      <c r="CW23" s="224" t="str">
        <f t="shared" si="19"/>
        <v/>
      </c>
      <c r="CX23" s="224" t="str">
        <f t="shared" si="19"/>
        <v/>
      </c>
      <c r="CY23" s="224" t="str">
        <f t="shared" si="19"/>
        <v/>
      </c>
      <c r="CZ23" s="224" t="str">
        <f t="shared" si="19"/>
        <v/>
      </c>
      <c r="DA23" s="224" t="str">
        <f t="shared" si="19"/>
        <v/>
      </c>
      <c r="DB23" s="224" t="str">
        <f t="shared" si="19"/>
        <v/>
      </c>
      <c r="DC23" s="224" t="str">
        <f t="shared" si="19"/>
        <v/>
      </c>
    </row>
    <row r="24" spans="2:107" ht="15" customHeight="1" x14ac:dyDescent="0.25">
      <c r="B24" s="515">
        <v>11</v>
      </c>
      <c r="C24" s="225" t="s">
        <v>4196</v>
      </c>
      <c r="D24" s="225"/>
      <c r="E24" s="226"/>
      <c r="F24" s="227"/>
      <c r="G24" s="228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</row>
    <row r="25" spans="2:107" ht="15" customHeight="1" x14ac:dyDescent="0.25">
      <c r="B25" s="515">
        <v>12</v>
      </c>
      <c r="C25" s="225" t="s">
        <v>4839</v>
      </c>
      <c r="D25" s="225"/>
      <c r="E25" s="231" t="s">
        <v>3857</v>
      </c>
      <c r="F25" s="232" t="s">
        <v>4233</v>
      </c>
      <c r="G25" s="554">
        <f>SUM(H25:DC25)</f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</row>
    <row r="26" spans="2:107" ht="15" customHeight="1" x14ac:dyDescent="0.25">
      <c r="B26" s="899">
        <v>13</v>
      </c>
      <c r="C26" s="225" t="s">
        <v>4317</v>
      </c>
      <c r="D26" s="225"/>
      <c r="E26" s="231"/>
      <c r="F26" s="232" t="s">
        <v>4713</v>
      </c>
      <c r="G26" s="237" t="str">
        <f>IF(COUNTA(H26:DC26)=0,"",IF(OR(LARGE(H26:DC26,1)&gt;1,SMALL(H26:DC26,1)&lt;0),"ERRO",""))</f>
        <v/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</row>
    <row r="27" spans="2:107" ht="15" customHeight="1" x14ac:dyDescent="0.25">
      <c r="B27" s="901"/>
      <c r="C27" s="225" t="s">
        <v>4459</v>
      </c>
      <c r="D27" s="225"/>
      <c r="E27" s="231" t="s">
        <v>3857</v>
      </c>
      <c r="F27" s="232" t="s">
        <v>4464</v>
      </c>
      <c r="G27" s="554">
        <f>SUM(H27:DC27)</f>
        <v>0</v>
      </c>
      <c r="H27" s="236">
        <f>H25*H26</f>
        <v>0</v>
      </c>
      <c r="I27" s="236">
        <f t="shared" ref="I27:Z27" si="20">I25*I26</f>
        <v>0</v>
      </c>
      <c r="J27" s="236">
        <f t="shared" si="20"/>
        <v>0</v>
      </c>
      <c r="K27" s="236">
        <f t="shared" si="20"/>
        <v>0</v>
      </c>
      <c r="L27" s="236">
        <f t="shared" si="20"/>
        <v>0</v>
      </c>
      <c r="M27" s="236">
        <f t="shared" si="20"/>
        <v>0</v>
      </c>
      <c r="N27" s="236">
        <f t="shared" si="20"/>
        <v>0</v>
      </c>
      <c r="O27" s="236">
        <f t="shared" si="20"/>
        <v>0</v>
      </c>
      <c r="P27" s="236">
        <f t="shared" si="20"/>
        <v>0</v>
      </c>
      <c r="Q27" s="236">
        <f t="shared" si="20"/>
        <v>0</v>
      </c>
      <c r="R27" s="236">
        <f t="shared" si="20"/>
        <v>0</v>
      </c>
      <c r="S27" s="236">
        <f t="shared" si="20"/>
        <v>0</v>
      </c>
      <c r="T27" s="236">
        <f t="shared" si="20"/>
        <v>0</v>
      </c>
      <c r="U27" s="236">
        <f t="shared" si="20"/>
        <v>0</v>
      </c>
      <c r="V27" s="236">
        <f t="shared" si="20"/>
        <v>0</v>
      </c>
      <c r="W27" s="236">
        <f t="shared" si="20"/>
        <v>0</v>
      </c>
      <c r="X27" s="236">
        <f t="shared" si="20"/>
        <v>0</v>
      </c>
      <c r="Y27" s="236">
        <f t="shared" si="20"/>
        <v>0</v>
      </c>
      <c r="Z27" s="236">
        <f t="shared" si="20"/>
        <v>0</v>
      </c>
      <c r="AA27" s="236">
        <f t="shared" ref="AA27:CL27" si="21">AA25*AA26</f>
        <v>0</v>
      </c>
      <c r="AB27" s="236">
        <f t="shared" si="21"/>
        <v>0</v>
      </c>
      <c r="AC27" s="236">
        <f t="shared" si="21"/>
        <v>0</v>
      </c>
      <c r="AD27" s="236">
        <f t="shared" si="21"/>
        <v>0</v>
      </c>
      <c r="AE27" s="236">
        <f t="shared" si="21"/>
        <v>0</v>
      </c>
      <c r="AF27" s="236">
        <f t="shared" si="21"/>
        <v>0</v>
      </c>
      <c r="AG27" s="236">
        <f t="shared" si="21"/>
        <v>0</v>
      </c>
      <c r="AH27" s="236">
        <f t="shared" si="21"/>
        <v>0</v>
      </c>
      <c r="AI27" s="236">
        <f t="shared" si="21"/>
        <v>0</v>
      </c>
      <c r="AJ27" s="236">
        <f t="shared" si="21"/>
        <v>0</v>
      </c>
      <c r="AK27" s="236">
        <f t="shared" si="21"/>
        <v>0</v>
      </c>
      <c r="AL27" s="236">
        <f t="shared" si="21"/>
        <v>0</v>
      </c>
      <c r="AM27" s="236">
        <f t="shared" si="21"/>
        <v>0</v>
      </c>
      <c r="AN27" s="236">
        <f t="shared" si="21"/>
        <v>0</v>
      </c>
      <c r="AO27" s="236">
        <f t="shared" si="21"/>
        <v>0</v>
      </c>
      <c r="AP27" s="236">
        <f t="shared" si="21"/>
        <v>0</v>
      </c>
      <c r="AQ27" s="236">
        <f t="shared" si="21"/>
        <v>0</v>
      </c>
      <c r="AR27" s="236">
        <f t="shared" si="21"/>
        <v>0</v>
      </c>
      <c r="AS27" s="236">
        <f t="shared" si="21"/>
        <v>0</v>
      </c>
      <c r="AT27" s="236">
        <f t="shared" si="21"/>
        <v>0</v>
      </c>
      <c r="AU27" s="236">
        <f t="shared" si="21"/>
        <v>0</v>
      </c>
      <c r="AV27" s="236">
        <f t="shared" si="21"/>
        <v>0</v>
      </c>
      <c r="AW27" s="236">
        <f t="shared" si="21"/>
        <v>0</v>
      </c>
      <c r="AX27" s="236">
        <f t="shared" si="21"/>
        <v>0</v>
      </c>
      <c r="AY27" s="236">
        <f t="shared" si="21"/>
        <v>0</v>
      </c>
      <c r="AZ27" s="236">
        <f t="shared" si="21"/>
        <v>0</v>
      </c>
      <c r="BA27" s="236">
        <f t="shared" si="21"/>
        <v>0</v>
      </c>
      <c r="BB27" s="236">
        <f t="shared" si="21"/>
        <v>0</v>
      </c>
      <c r="BC27" s="236">
        <f t="shared" si="21"/>
        <v>0</v>
      </c>
      <c r="BD27" s="236">
        <f t="shared" si="21"/>
        <v>0</v>
      </c>
      <c r="BE27" s="236">
        <f t="shared" si="21"/>
        <v>0</v>
      </c>
      <c r="BF27" s="236">
        <f t="shared" si="21"/>
        <v>0</v>
      </c>
      <c r="BG27" s="236">
        <f t="shared" si="21"/>
        <v>0</v>
      </c>
      <c r="BH27" s="236">
        <f t="shared" si="21"/>
        <v>0</v>
      </c>
      <c r="BI27" s="236">
        <f t="shared" si="21"/>
        <v>0</v>
      </c>
      <c r="BJ27" s="236">
        <f t="shared" si="21"/>
        <v>0</v>
      </c>
      <c r="BK27" s="236">
        <f t="shared" si="21"/>
        <v>0</v>
      </c>
      <c r="BL27" s="236">
        <f t="shared" si="21"/>
        <v>0</v>
      </c>
      <c r="BM27" s="236">
        <f t="shared" si="21"/>
        <v>0</v>
      </c>
      <c r="BN27" s="236">
        <f t="shared" si="21"/>
        <v>0</v>
      </c>
      <c r="BO27" s="236">
        <f t="shared" si="21"/>
        <v>0</v>
      </c>
      <c r="BP27" s="236">
        <f t="shared" si="21"/>
        <v>0</v>
      </c>
      <c r="BQ27" s="236">
        <f t="shared" si="21"/>
        <v>0</v>
      </c>
      <c r="BR27" s="236">
        <f t="shared" si="21"/>
        <v>0</v>
      </c>
      <c r="BS27" s="236">
        <f t="shared" si="21"/>
        <v>0</v>
      </c>
      <c r="BT27" s="236">
        <f t="shared" si="21"/>
        <v>0</v>
      </c>
      <c r="BU27" s="236">
        <f t="shared" si="21"/>
        <v>0</v>
      </c>
      <c r="BV27" s="236">
        <f t="shared" si="21"/>
        <v>0</v>
      </c>
      <c r="BW27" s="236">
        <f t="shared" si="21"/>
        <v>0</v>
      </c>
      <c r="BX27" s="236">
        <f t="shared" si="21"/>
        <v>0</v>
      </c>
      <c r="BY27" s="236">
        <f t="shared" si="21"/>
        <v>0</v>
      </c>
      <c r="BZ27" s="236">
        <f t="shared" si="21"/>
        <v>0</v>
      </c>
      <c r="CA27" s="236">
        <f t="shared" si="21"/>
        <v>0</v>
      </c>
      <c r="CB27" s="236">
        <f t="shared" si="21"/>
        <v>0</v>
      </c>
      <c r="CC27" s="236">
        <f t="shared" si="21"/>
        <v>0</v>
      </c>
      <c r="CD27" s="236">
        <f t="shared" si="21"/>
        <v>0</v>
      </c>
      <c r="CE27" s="236">
        <f t="shared" si="21"/>
        <v>0</v>
      </c>
      <c r="CF27" s="236">
        <f t="shared" si="21"/>
        <v>0</v>
      </c>
      <c r="CG27" s="236">
        <f t="shared" si="21"/>
        <v>0</v>
      </c>
      <c r="CH27" s="236">
        <f t="shared" si="21"/>
        <v>0</v>
      </c>
      <c r="CI27" s="236">
        <f t="shared" si="21"/>
        <v>0</v>
      </c>
      <c r="CJ27" s="236">
        <f t="shared" si="21"/>
        <v>0</v>
      </c>
      <c r="CK27" s="236">
        <f t="shared" si="21"/>
        <v>0</v>
      </c>
      <c r="CL27" s="236">
        <f t="shared" si="21"/>
        <v>0</v>
      </c>
      <c r="CM27" s="236">
        <f t="shared" ref="CM27:DC27" si="22">CM25*CM26</f>
        <v>0</v>
      </c>
      <c r="CN27" s="236">
        <f t="shared" si="22"/>
        <v>0</v>
      </c>
      <c r="CO27" s="236">
        <f t="shared" si="22"/>
        <v>0</v>
      </c>
      <c r="CP27" s="236">
        <f t="shared" si="22"/>
        <v>0</v>
      </c>
      <c r="CQ27" s="236">
        <f t="shared" si="22"/>
        <v>0</v>
      </c>
      <c r="CR27" s="236">
        <f t="shared" si="22"/>
        <v>0</v>
      </c>
      <c r="CS27" s="236">
        <f t="shared" si="22"/>
        <v>0</v>
      </c>
      <c r="CT27" s="236">
        <f t="shared" si="22"/>
        <v>0</v>
      </c>
      <c r="CU27" s="236">
        <f t="shared" si="22"/>
        <v>0</v>
      </c>
      <c r="CV27" s="236">
        <f t="shared" si="22"/>
        <v>0</v>
      </c>
      <c r="CW27" s="236">
        <f t="shared" si="22"/>
        <v>0</v>
      </c>
      <c r="CX27" s="236">
        <f t="shared" si="22"/>
        <v>0</v>
      </c>
      <c r="CY27" s="236">
        <f t="shared" si="22"/>
        <v>0</v>
      </c>
      <c r="CZ27" s="236">
        <f t="shared" si="22"/>
        <v>0</v>
      </c>
      <c r="DA27" s="236">
        <f t="shared" si="22"/>
        <v>0</v>
      </c>
      <c r="DB27" s="236">
        <f t="shared" si="22"/>
        <v>0</v>
      </c>
      <c r="DC27" s="236">
        <f t="shared" si="22"/>
        <v>0</v>
      </c>
    </row>
    <row r="28" spans="2:107" ht="15" customHeight="1" x14ac:dyDescent="0.25">
      <c r="B28" s="515">
        <v>14</v>
      </c>
      <c r="C28" s="225" t="s">
        <v>3980</v>
      </c>
      <c r="D28" s="225"/>
      <c r="E28" s="231"/>
      <c r="F28" s="232" t="s">
        <v>4265</v>
      </c>
      <c r="G28" s="235">
        <f>SUM(H28:DC28)</f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</row>
    <row r="29" spans="2:107" ht="15" customHeight="1" x14ac:dyDescent="0.25">
      <c r="B29" s="899">
        <v>15</v>
      </c>
      <c r="C29" s="225" t="s">
        <v>4207</v>
      </c>
      <c r="D29" s="225"/>
      <c r="E29" s="231" t="s">
        <v>4208</v>
      </c>
      <c r="F29" s="232"/>
      <c r="G29" s="237" t="str">
        <f>IF(COUNTA(H29:DC29)=0,"",IF(OR(LARGE(H29:DC29,1)&gt;24,SMALL(H29:DC29,1)&lt;0),"ERRO",""))</f>
        <v/>
      </c>
      <c r="H29" s="470">
        <f t="shared" ref="H29:AM29" si="23">H10</f>
        <v>0</v>
      </c>
      <c r="I29" s="470">
        <f t="shared" si="23"/>
        <v>0</v>
      </c>
      <c r="J29" s="470">
        <f t="shared" si="23"/>
        <v>0</v>
      </c>
      <c r="K29" s="470">
        <f t="shared" si="23"/>
        <v>0</v>
      </c>
      <c r="L29" s="470">
        <f t="shared" si="23"/>
        <v>0</v>
      </c>
      <c r="M29" s="470">
        <f t="shared" si="23"/>
        <v>0</v>
      </c>
      <c r="N29" s="470">
        <f t="shared" si="23"/>
        <v>0</v>
      </c>
      <c r="O29" s="470">
        <f t="shared" si="23"/>
        <v>0</v>
      </c>
      <c r="P29" s="470">
        <f t="shared" si="23"/>
        <v>0</v>
      </c>
      <c r="Q29" s="470">
        <f t="shared" si="23"/>
        <v>0</v>
      </c>
      <c r="R29" s="470">
        <f t="shared" si="23"/>
        <v>0</v>
      </c>
      <c r="S29" s="470">
        <f t="shared" si="23"/>
        <v>0</v>
      </c>
      <c r="T29" s="470">
        <f t="shared" si="23"/>
        <v>0</v>
      </c>
      <c r="U29" s="470">
        <f t="shared" si="23"/>
        <v>0</v>
      </c>
      <c r="V29" s="470">
        <f t="shared" si="23"/>
        <v>0</v>
      </c>
      <c r="W29" s="470">
        <f t="shared" si="23"/>
        <v>0</v>
      </c>
      <c r="X29" s="470">
        <f t="shared" si="23"/>
        <v>0</v>
      </c>
      <c r="Y29" s="470">
        <f t="shared" si="23"/>
        <v>0</v>
      </c>
      <c r="Z29" s="470">
        <f t="shared" si="23"/>
        <v>0</v>
      </c>
      <c r="AA29" s="470">
        <f t="shared" si="23"/>
        <v>0</v>
      </c>
      <c r="AB29" s="470">
        <f t="shared" si="23"/>
        <v>0</v>
      </c>
      <c r="AC29" s="470">
        <f t="shared" si="23"/>
        <v>0</v>
      </c>
      <c r="AD29" s="470">
        <f t="shared" si="23"/>
        <v>0</v>
      </c>
      <c r="AE29" s="470">
        <f t="shared" si="23"/>
        <v>0</v>
      </c>
      <c r="AF29" s="470">
        <f t="shared" si="23"/>
        <v>0</v>
      </c>
      <c r="AG29" s="470">
        <f t="shared" si="23"/>
        <v>0</v>
      </c>
      <c r="AH29" s="470">
        <f t="shared" si="23"/>
        <v>0</v>
      </c>
      <c r="AI29" s="470">
        <f t="shared" si="23"/>
        <v>0</v>
      </c>
      <c r="AJ29" s="470">
        <f t="shared" si="23"/>
        <v>0</v>
      </c>
      <c r="AK29" s="470">
        <f t="shared" si="23"/>
        <v>0</v>
      </c>
      <c r="AL29" s="470">
        <f t="shared" si="23"/>
        <v>0</v>
      </c>
      <c r="AM29" s="470">
        <f t="shared" si="23"/>
        <v>0</v>
      </c>
      <c r="AN29" s="470">
        <f t="shared" ref="AN29:BS29" si="24">AN10</f>
        <v>0</v>
      </c>
      <c r="AO29" s="470">
        <f t="shared" si="24"/>
        <v>0</v>
      </c>
      <c r="AP29" s="470">
        <f t="shared" si="24"/>
        <v>0</v>
      </c>
      <c r="AQ29" s="470">
        <f t="shared" si="24"/>
        <v>0</v>
      </c>
      <c r="AR29" s="470">
        <f t="shared" si="24"/>
        <v>0</v>
      </c>
      <c r="AS29" s="470">
        <f t="shared" si="24"/>
        <v>0</v>
      </c>
      <c r="AT29" s="470">
        <f t="shared" si="24"/>
        <v>0</v>
      </c>
      <c r="AU29" s="470">
        <f t="shared" si="24"/>
        <v>0</v>
      </c>
      <c r="AV29" s="470">
        <f t="shared" si="24"/>
        <v>0</v>
      </c>
      <c r="AW29" s="470">
        <f t="shared" si="24"/>
        <v>0</v>
      </c>
      <c r="AX29" s="470">
        <f t="shared" si="24"/>
        <v>0</v>
      </c>
      <c r="AY29" s="470">
        <f t="shared" si="24"/>
        <v>0</v>
      </c>
      <c r="AZ29" s="470">
        <f t="shared" si="24"/>
        <v>0</v>
      </c>
      <c r="BA29" s="470">
        <f t="shared" si="24"/>
        <v>0</v>
      </c>
      <c r="BB29" s="470">
        <f t="shared" si="24"/>
        <v>0</v>
      </c>
      <c r="BC29" s="470">
        <f t="shared" si="24"/>
        <v>0</v>
      </c>
      <c r="BD29" s="470">
        <f t="shared" si="24"/>
        <v>0</v>
      </c>
      <c r="BE29" s="470">
        <f t="shared" si="24"/>
        <v>0</v>
      </c>
      <c r="BF29" s="470">
        <f t="shared" si="24"/>
        <v>0</v>
      </c>
      <c r="BG29" s="470">
        <f t="shared" si="24"/>
        <v>0</v>
      </c>
      <c r="BH29" s="470">
        <f t="shared" si="24"/>
        <v>0</v>
      </c>
      <c r="BI29" s="470">
        <f t="shared" si="24"/>
        <v>0</v>
      </c>
      <c r="BJ29" s="470">
        <f t="shared" si="24"/>
        <v>0</v>
      </c>
      <c r="BK29" s="470">
        <f t="shared" si="24"/>
        <v>0</v>
      </c>
      <c r="BL29" s="470">
        <f t="shared" si="24"/>
        <v>0</v>
      </c>
      <c r="BM29" s="470">
        <f t="shared" si="24"/>
        <v>0</v>
      </c>
      <c r="BN29" s="470">
        <f t="shared" si="24"/>
        <v>0</v>
      </c>
      <c r="BO29" s="470">
        <f t="shared" si="24"/>
        <v>0</v>
      </c>
      <c r="BP29" s="470">
        <f t="shared" si="24"/>
        <v>0</v>
      </c>
      <c r="BQ29" s="470">
        <f t="shared" si="24"/>
        <v>0</v>
      </c>
      <c r="BR29" s="470">
        <f t="shared" si="24"/>
        <v>0</v>
      </c>
      <c r="BS29" s="470">
        <f t="shared" si="24"/>
        <v>0</v>
      </c>
      <c r="BT29" s="470">
        <f t="shared" ref="BT29:DC29" si="25">BT10</f>
        <v>0</v>
      </c>
      <c r="BU29" s="470">
        <f t="shared" si="25"/>
        <v>0</v>
      </c>
      <c r="BV29" s="470">
        <f t="shared" si="25"/>
        <v>0</v>
      </c>
      <c r="BW29" s="470">
        <f t="shared" si="25"/>
        <v>0</v>
      </c>
      <c r="BX29" s="470">
        <f t="shared" si="25"/>
        <v>0</v>
      </c>
      <c r="BY29" s="470">
        <f t="shared" si="25"/>
        <v>0</v>
      </c>
      <c r="BZ29" s="470">
        <f t="shared" si="25"/>
        <v>0</v>
      </c>
      <c r="CA29" s="470">
        <f t="shared" si="25"/>
        <v>0</v>
      </c>
      <c r="CB29" s="470">
        <f t="shared" si="25"/>
        <v>0</v>
      </c>
      <c r="CC29" s="470">
        <f t="shared" si="25"/>
        <v>0</v>
      </c>
      <c r="CD29" s="470">
        <f t="shared" si="25"/>
        <v>0</v>
      </c>
      <c r="CE29" s="470">
        <f t="shared" si="25"/>
        <v>0</v>
      </c>
      <c r="CF29" s="470">
        <f t="shared" si="25"/>
        <v>0</v>
      </c>
      <c r="CG29" s="470">
        <f t="shared" si="25"/>
        <v>0</v>
      </c>
      <c r="CH29" s="470">
        <f t="shared" si="25"/>
        <v>0</v>
      </c>
      <c r="CI29" s="470">
        <f t="shared" si="25"/>
        <v>0</v>
      </c>
      <c r="CJ29" s="470">
        <f t="shared" si="25"/>
        <v>0</v>
      </c>
      <c r="CK29" s="470">
        <f t="shared" si="25"/>
        <v>0</v>
      </c>
      <c r="CL29" s="470">
        <f t="shared" si="25"/>
        <v>0</v>
      </c>
      <c r="CM29" s="470">
        <f t="shared" si="25"/>
        <v>0</v>
      </c>
      <c r="CN29" s="470">
        <f t="shared" si="25"/>
        <v>0</v>
      </c>
      <c r="CO29" s="470">
        <f t="shared" si="25"/>
        <v>0</v>
      </c>
      <c r="CP29" s="470">
        <f t="shared" si="25"/>
        <v>0</v>
      </c>
      <c r="CQ29" s="470">
        <f t="shared" si="25"/>
        <v>0</v>
      </c>
      <c r="CR29" s="470">
        <f t="shared" si="25"/>
        <v>0</v>
      </c>
      <c r="CS29" s="470">
        <f t="shared" si="25"/>
        <v>0</v>
      </c>
      <c r="CT29" s="470">
        <f t="shared" si="25"/>
        <v>0</v>
      </c>
      <c r="CU29" s="470">
        <f t="shared" si="25"/>
        <v>0</v>
      </c>
      <c r="CV29" s="470">
        <f t="shared" si="25"/>
        <v>0</v>
      </c>
      <c r="CW29" s="470">
        <f t="shared" si="25"/>
        <v>0</v>
      </c>
      <c r="CX29" s="470">
        <f t="shared" si="25"/>
        <v>0</v>
      </c>
      <c r="CY29" s="470">
        <f t="shared" si="25"/>
        <v>0</v>
      </c>
      <c r="CZ29" s="470">
        <f t="shared" si="25"/>
        <v>0</v>
      </c>
      <c r="DA29" s="470">
        <f t="shared" si="25"/>
        <v>0</v>
      </c>
      <c r="DB29" s="470">
        <f t="shared" si="25"/>
        <v>0</v>
      </c>
      <c r="DC29" s="470">
        <f t="shared" si="25"/>
        <v>0</v>
      </c>
    </row>
    <row r="30" spans="2:107" ht="15" customHeight="1" x14ac:dyDescent="0.25">
      <c r="B30" s="900"/>
      <c r="C30" s="239" t="s">
        <v>4209</v>
      </c>
      <c r="D30" s="239"/>
      <c r="E30" s="558" t="s">
        <v>4210</v>
      </c>
      <c r="F30" s="232"/>
      <c r="G30" s="237" t="str">
        <f>IF(COUNTA(H30:DC30)=0,"",IF(OR(LARGE(H30:DC30,1)&gt;365,SMALL(H30:DC30,1)&lt;0),"ERRO",""))</f>
        <v/>
      </c>
      <c r="H30" s="470">
        <f t="shared" ref="H30:AM30" si="26">H11</f>
        <v>0</v>
      </c>
      <c r="I30" s="470">
        <f t="shared" si="26"/>
        <v>0</v>
      </c>
      <c r="J30" s="470">
        <f t="shared" si="26"/>
        <v>0</v>
      </c>
      <c r="K30" s="470">
        <f t="shared" si="26"/>
        <v>0</v>
      </c>
      <c r="L30" s="470">
        <f t="shared" si="26"/>
        <v>0</v>
      </c>
      <c r="M30" s="470">
        <f t="shared" si="26"/>
        <v>0</v>
      </c>
      <c r="N30" s="470">
        <f t="shared" si="26"/>
        <v>0</v>
      </c>
      <c r="O30" s="470">
        <f t="shared" si="26"/>
        <v>0</v>
      </c>
      <c r="P30" s="470">
        <f t="shared" si="26"/>
        <v>0</v>
      </c>
      <c r="Q30" s="470">
        <f t="shared" si="26"/>
        <v>0</v>
      </c>
      <c r="R30" s="470">
        <f t="shared" si="26"/>
        <v>0</v>
      </c>
      <c r="S30" s="470">
        <f t="shared" si="26"/>
        <v>0</v>
      </c>
      <c r="T30" s="470">
        <f t="shared" si="26"/>
        <v>0</v>
      </c>
      <c r="U30" s="470">
        <f t="shared" si="26"/>
        <v>0</v>
      </c>
      <c r="V30" s="470">
        <f t="shared" si="26"/>
        <v>0</v>
      </c>
      <c r="W30" s="470">
        <f t="shared" si="26"/>
        <v>0</v>
      </c>
      <c r="X30" s="470">
        <f t="shared" si="26"/>
        <v>0</v>
      </c>
      <c r="Y30" s="470">
        <f t="shared" si="26"/>
        <v>0</v>
      </c>
      <c r="Z30" s="470">
        <f t="shared" si="26"/>
        <v>0</v>
      </c>
      <c r="AA30" s="470">
        <f t="shared" si="26"/>
        <v>0</v>
      </c>
      <c r="AB30" s="470">
        <f t="shared" si="26"/>
        <v>0</v>
      </c>
      <c r="AC30" s="470">
        <f t="shared" si="26"/>
        <v>0</v>
      </c>
      <c r="AD30" s="470">
        <f t="shared" si="26"/>
        <v>0</v>
      </c>
      <c r="AE30" s="470">
        <f t="shared" si="26"/>
        <v>0</v>
      </c>
      <c r="AF30" s="470">
        <f t="shared" si="26"/>
        <v>0</v>
      </c>
      <c r="AG30" s="470">
        <f t="shared" si="26"/>
        <v>0</v>
      </c>
      <c r="AH30" s="470">
        <f t="shared" si="26"/>
        <v>0</v>
      </c>
      <c r="AI30" s="470">
        <f t="shared" si="26"/>
        <v>0</v>
      </c>
      <c r="AJ30" s="470">
        <f t="shared" si="26"/>
        <v>0</v>
      </c>
      <c r="AK30" s="470">
        <f t="shared" si="26"/>
        <v>0</v>
      </c>
      <c r="AL30" s="470">
        <f t="shared" si="26"/>
        <v>0</v>
      </c>
      <c r="AM30" s="470">
        <f t="shared" si="26"/>
        <v>0</v>
      </c>
      <c r="AN30" s="470">
        <f t="shared" ref="AN30:BS30" si="27">AN11</f>
        <v>0</v>
      </c>
      <c r="AO30" s="470">
        <f t="shared" si="27"/>
        <v>0</v>
      </c>
      <c r="AP30" s="470">
        <f t="shared" si="27"/>
        <v>0</v>
      </c>
      <c r="AQ30" s="470">
        <f t="shared" si="27"/>
        <v>0</v>
      </c>
      <c r="AR30" s="470">
        <f t="shared" si="27"/>
        <v>0</v>
      </c>
      <c r="AS30" s="470">
        <f t="shared" si="27"/>
        <v>0</v>
      </c>
      <c r="AT30" s="470">
        <f t="shared" si="27"/>
        <v>0</v>
      </c>
      <c r="AU30" s="470">
        <f t="shared" si="27"/>
        <v>0</v>
      </c>
      <c r="AV30" s="470">
        <f t="shared" si="27"/>
        <v>0</v>
      </c>
      <c r="AW30" s="470">
        <f t="shared" si="27"/>
        <v>0</v>
      </c>
      <c r="AX30" s="470">
        <f t="shared" si="27"/>
        <v>0</v>
      </c>
      <c r="AY30" s="470">
        <f t="shared" si="27"/>
        <v>0</v>
      </c>
      <c r="AZ30" s="470">
        <f t="shared" si="27"/>
        <v>0</v>
      </c>
      <c r="BA30" s="470">
        <f t="shared" si="27"/>
        <v>0</v>
      </c>
      <c r="BB30" s="470">
        <f t="shared" si="27"/>
        <v>0</v>
      </c>
      <c r="BC30" s="470">
        <f t="shared" si="27"/>
        <v>0</v>
      </c>
      <c r="BD30" s="470">
        <f t="shared" si="27"/>
        <v>0</v>
      </c>
      <c r="BE30" s="470">
        <f t="shared" si="27"/>
        <v>0</v>
      </c>
      <c r="BF30" s="470">
        <f t="shared" si="27"/>
        <v>0</v>
      </c>
      <c r="BG30" s="470">
        <f t="shared" si="27"/>
        <v>0</v>
      </c>
      <c r="BH30" s="470">
        <f t="shared" si="27"/>
        <v>0</v>
      </c>
      <c r="BI30" s="470">
        <f t="shared" si="27"/>
        <v>0</v>
      </c>
      <c r="BJ30" s="470">
        <f t="shared" si="27"/>
        <v>0</v>
      </c>
      <c r="BK30" s="470">
        <f t="shared" si="27"/>
        <v>0</v>
      </c>
      <c r="BL30" s="470">
        <f t="shared" si="27"/>
        <v>0</v>
      </c>
      <c r="BM30" s="470">
        <f t="shared" si="27"/>
        <v>0</v>
      </c>
      <c r="BN30" s="470">
        <f t="shared" si="27"/>
        <v>0</v>
      </c>
      <c r="BO30" s="470">
        <f t="shared" si="27"/>
        <v>0</v>
      </c>
      <c r="BP30" s="470">
        <f t="shared" si="27"/>
        <v>0</v>
      </c>
      <c r="BQ30" s="470">
        <f t="shared" si="27"/>
        <v>0</v>
      </c>
      <c r="BR30" s="470">
        <f t="shared" si="27"/>
        <v>0</v>
      </c>
      <c r="BS30" s="470">
        <f t="shared" si="27"/>
        <v>0</v>
      </c>
      <c r="BT30" s="470">
        <f t="shared" ref="BT30:DC30" si="28">BT11</f>
        <v>0</v>
      </c>
      <c r="BU30" s="470">
        <f t="shared" si="28"/>
        <v>0</v>
      </c>
      <c r="BV30" s="470">
        <f t="shared" si="28"/>
        <v>0</v>
      </c>
      <c r="BW30" s="470">
        <f t="shared" si="28"/>
        <v>0</v>
      </c>
      <c r="BX30" s="470">
        <f t="shared" si="28"/>
        <v>0</v>
      </c>
      <c r="BY30" s="470">
        <f t="shared" si="28"/>
        <v>0</v>
      </c>
      <c r="BZ30" s="470">
        <f t="shared" si="28"/>
        <v>0</v>
      </c>
      <c r="CA30" s="470">
        <f t="shared" si="28"/>
        <v>0</v>
      </c>
      <c r="CB30" s="470">
        <f t="shared" si="28"/>
        <v>0</v>
      </c>
      <c r="CC30" s="470">
        <f t="shared" si="28"/>
        <v>0</v>
      </c>
      <c r="CD30" s="470">
        <f t="shared" si="28"/>
        <v>0</v>
      </c>
      <c r="CE30" s="470">
        <f t="shared" si="28"/>
        <v>0</v>
      </c>
      <c r="CF30" s="470">
        <f t="shared" si="28"/>
        <v>0</v>
      </c>
      <c r="CG30" s="470">
        <f t="shared" si="28"/>
        <v>0</v>
      </c>
      <c r="CH30" s="470">
        <f t="shared" si="28"/>
        <v>0</v>
      </c>
      <c r="CI30" s="470">
        <f t="shared" si="28"/>
        <v>0</v>
      </c>
      <c r="CJ30" s="470">
        <f t="shared" si="28"/>
        <v>0</v>
      </c>
      <c r="CK30" s="470">
        <f t="shared" si="28"/>
        <v>0</v>
      </c>
      <c r="CL30" s="470">
        <f t="shared" si="28"/>
        <v>0</v>
      </c>
      <c r="CM30" s="470">
        <f t="shared" si="28"/>
        <v>0</v>
      </c>
      <c r="CN30" s="470">
        <f t="shared" si="28"/>
        <v>0</v>
      </c>
      <c r="CO30" s="470">
        <f t="shared" si="28"/>
        <v>0</v>
      </c>
      <c r="CP30" s="470">
        <f t="shared" si="28"/>
        <v>0</v>
      </c>
      <c r="CQ30" s="470">
        <f t="shared" si="28"/>
        <v>0</v>
      </c>
      <c r="CR30" s="470">
        <f t="shared" si="28"/>
        <v>0</v>
      </c>
      <c r="CS30" s="470">
        <f t="shared" si="28"/>
        <v>0</v>
      </c>
      <c r="CT30" s="470">
        <f t="shared" si="28"/>
        <v>0</v>
      </c>
      <c r="CU30" s="470">
        <f t="shared" si="28"/>
        <v>0</v>
      </c>
      <c r="CV30" s="470">
        <f t="shared" si="28"/>
        <v>0</v>
      </c>
      <c r="CW30" s="470">
        <f t="shared" si="28"/>
        <v>0</v>
      </c>
      <c r="CX30" s="470">
        <f t="shared" si="28"/>
        <v>0</v>
      </c>
      <c r="CY30" s="470">
        <f t="shared" si="28"/>
        <v>0</v>
      </c>
      <c r="CZ30" s="470">
        <f t="shared" si="28"/>
        <v>0</v>
      </c>
      <c r="DA30" s="470">
        <f t="shared" si="28"/>
        <v>0</v>
      </c>
      <c r="DB30" s="470">
        <f t="shared" si="28"/>
        <v>0</v>
      </c>
      <c r="DC30" s="470">
        <f t="shared" si="28"/>
        <v>0</v>
      </c>
    </row>
    <row r="31" spans="2:107" ht="15" customHeight="1" x14ac:dyDescent="0.25">
      <c r="B31" s="901"/>
      <c r="C31" s="225" t="s">
        <v>4211</v>
      </c>
      <c r="D31" s="225"/>
      <c r="E31" s="231" t="s">
        <v>4212</v>
      </c>
      <c r="F31" s="232" t="s">
        <v>4234</v>
      </c>
      <c r="G31" s="237" t="str">
        <f>IF(COUNTA(H31:DC31)=0,"",IF(OR(LARGE(H31:DC31,1)&gt;8760,SMALL(H31:DC31,1)&lt;0),"ERRO",""))</f>
        <v/>
      </c>
      <c r="H31" s="241">
        <f>H29*H30</f>
        <v>0</v>
      </c>
      <c r="I31" s="241">
        <f t="shared" ref="I31:Z31" si="29">I29*I30</f>
        <v>0</v>
      </c>
      <c r="J31" s="241">
        <f t="shared" si="29"/>
        <v>0</v>
      </c>
      <c r="K31" s="241">
        <f t="shared" si="29"/>
        <v>0</v>
      </c>
      <c r="L31" s="241">
        <f t="shared" si="29"/>
        <v>0</v>
      </c>
      <c r="M31" s="241">
        <f t="shared" si="29"/>
        <v>0</v>
      </c>
      <c r="N31" s="241">
        <f t="shared" si="29"/>
        <v>0</v>
      </c>
      <c r="O31" s="241">
        <f t="shared" si="29"/>
        <v>0</v>
      </c>
      <c r="P31" s="241">
        <f t="shared" si="29"/>
        <v>0</v>
      </c>
      <c r="Q31" s="241">
        <f t="shared" si="29"/>
        <v>0</v>
      </c>
      <c r="R31" s="241">
        <f t="shared" si="29"/>
        <v>0</v>
      </c>
      <c r="S31" s="241">
        <f t="shared" si="29"/>
        <v>0</v>
      </c>
      <c r="T31" s="241">
        <f t="shared" si="29"/>
        <v>0</v>
      </c>
      <c r="U31" s="241">
        <f t="shared" si="29"/>
        <v>0</v>
      </c>
      <c r="V31" s="241">
        <f t="shared" si="29"/>
        <v>0</v>
      </c>
      <c r="W31" s="241">
        <f t="shared" si="29"/>
        <v>0</v>
      </c>
      <c r="X31" s="241">
        <f t="shared" si="29"/>
        <v>0</v>
      </c>
      <c r="Y31" s="241">
        <f t="shared" si="29"/>
        <v>0</v>
      </c>
      <c r="Z31" s="241">
        <f t="shared" si="29"/>
        <v>0</v>
      </c>
      <c r="AA31" s="241">
        <f t="shared" ref="AA31:CL31" si="30">AA29*AA30</f>
        <v>0</v>
      </c>
      <c r="AB31" s="241">
        <f t="shared" si="30"/>
        <v>0</v>
      </c>
      <c r="AC31" s="241">
        <f t="shared" si="30"/>
        <v>0</v>
      </c>
      <c r="AD31" s="241">
        <f t="shared" si="30"/>
        <v>0</v>
      </c>
      <c r="AE31" s="241">
        <f t="shared" si="30"/>
        <v>0</v>
      </c>
      <c r="AF31" s="241">
        <f t="shared" si="30"/>
        <v>0</v>
      </c>
      <c r="AG31" s="241">
        <f t="shared" si="30"/>
        <v>0</v>
      </c>
      <c r="AH31" s="241">
        <f t="shared" si="30"/>
        <v>0</v>
      </c>
      <c r="AI31" s="241">
        <f t="shared" si="30"/>
        <v>0</v>
      </c>
      <c r="AJ31" s="241">
        <f t="shared" si="30"/>
        <v>0</v>
      </c>
      <c r="AK31" s="241">
        <f t="shared" si="30"/>
        <v>0</v>
      </c>
      <c r="AL31" s="241">
        <f t="shared" si="30"/>
        <v>0</v>
      </c>
      <c r="AM31" s="241">
        <f t="shared" si="30"/>
        <v>0</v>
      </c>
      <c r="AN31" s="241">
        <f t="shared" si="30"/>
        <v>0</v>
      </c>
      <c r="AO31" s="241">
        <f t="shared" si="30"/>
        <v>0</v>
      </c>
      <c r="AP31" s="241">
        <f t="shared" si="30"/>
        <v>0</v>
      </c>
      <c r="AQ31" s="241">
        <f t="shared" si="30"/>
        <v>0</v>
      </c>
      <c r="AR31" s="241">
        <f t="shared" si="30"/>
        <v>0</v>
      </c>
      <c r="AS31" s="241">
        <f t="shared" si="30"/>
        <v>0</v>
      </c>
      <c r="AT31" s="241">
        <f t="shared" si="30"/>
        <v>0</v>
      </c>
      <c r="AU31" s="241">
        <f t="shared" si="30"/>
        <v>0</v>
      </c>
      <c r="AV31" s="241">
        <f t="shared" si="30"/>
        <v>0</v>
      </c>
      <c r="AW31" s="241">
        <f t="shared" si="30"/>
        <v>0</v>
      </c>
      <c r="AX31" s="241">
        <f t="shared" si="30"/>
        <v>0</v>
      </c>
      <c r="AY31" s="241">
        <f t="shared" si="30"/>
        <v>0</v>
      </c>
      <c r="AZ31" s="241">
        <f t="shared" si="30"/>
        <v>0</v>
      </c>
      <c r="BA31" s="241">
        <f t="shared" si="30"/>
        <v>0</v>
      </c>
      <c r="BB31" s="241">
        <f t="shared" si="30"/>
        <v>0</v>
      </c>
      <c r="BC31" s="241">
        <f t="shared" si="30"/>
        <v>0</v>
      </c>
      <c r="BD31" s="241">
        <f t="shared" si="30"/>
        <v>0</v>
      </c>
      <c r="BE31" s="241">
        <f t="shared" si="30"/>
        <v>0</v>
      </c>
      <c r="BF31" s="241">
        <f t="shared" si="30"/>
        <v>0</v>
      </c>
      <c r="BG31" s="241">
        <f t="shared" si="30"/>
        <v>0</v>
      </c>
      <c r="BH31" s="241">
        <f t="shared" si="30"/>
        <v>0</v>
      </c>
      <c r="BI31" s="241">
        <f t="shared" si="30"/>
        <v>0</v>
      </c>
      <c r="BJ31" s="241">
        <f t="shared" si="30"/>
        <v>0</v>
      </c>
      <c r="BK31" s="241">
        <f t="shared" si="30"/>
        <v>0</v>
      </c>
      <c r="BL31" s="241">
        <f t="shared" si="30"/>
        <v>0</v>
      </c>
      <c r="BM31" s="241">
        <f t="shared" si="30"/>
        <v>0</v>
      </c>
      <c r="BN31" s="241">
        <f t="shared" si="30"/>
        <v>0</v>
      </c>
      <c r="BO31" s="241">
        <f t="shared" si="30"/>
        <v>0</v>
      </c>
      <c r="BP31" s="241">
        <f t="shared" si="30"/>
        <v>0</v>
      </c>
      <c r="BQ31" s="241">
        <f t="shared" si="30"/>
        <v>0</v>
      </c>
      <c r="BR31" s="241">
        <f t="shared" si="30"/>
        <v>0</v>
      </c>
      <c r="BS31" s="241">
        <f t="shared" si="30"/>
        <v>0</v>
      </c>
      <c r="BT31" s="241">
        <f t="shared" si="30"/>
        <v>0</v>
      </c>
      <c r="BU31" s="241">
        <f t="shared" si="30"/>
        <v>0</v>
      </c>
      <c r="BV31" s="241">
        <f t="shared" si="30"/>
        <v>0</v>
      </c>
      <c r="BW31" s="241">
        <f t="shared" si="30"/>
        <v>0</v>
      </c>
      <c r="BX31" s="241">
        <f t="shared" si="30"/>
        <v>0</v>
      </c>
      <c r="BY31" s="241">
        <f t="shared" si="30"/>
        <v>0</v>
      </c>
      <c r="BZ31" s="241">
        <f t="shared" si="30"/>
        <v>0</v>
      </c>
      <c r="CA31" s="241">
        <f t="shared" si="30"/>
        <v>0</v>
      </c>
      <c r="CB31" s="241">
        <f t="shared" si="30"/>
        <v>0</v>
      </c>
      <c r="CC31" s="241">
        <f t="shared" si="30"/>
        <v>0</v>
      </c>
      <c r="CD31" s="241">
        <f t="shared" si="30"/>
        <v>0</v>
      </c>
      <c r="CE31" s="241">
        <f t="shared" si="30"/>
        <v>0</v>
      </c>
      <c r="CF31" s="241">
        <f t="shared" si="30"/>
        <v>0</v>
      </c>
      <c r="CG31" s="241">
        <f t="shared" si="30"/>
        <v>0</v>
      </c>
      <c r="CH31" s="241">
        <f t="shared" si="30"/>
        <v>0</v>
      </c>
      <c r="CI31" s="241">
        <f t="shared" si="30"/>
        <v>0</v>
      </c>
      <c r="CJ31" s="241">
        <f t="shared" si="30"/>
        <v>0</v>
      </c>
      <c r="CK31" s="241">
        <f t="shared" si="30"/>
        <v>0</v>
      </c>
      <c r="CL31" s="241">
        <f t="shared" si="30"/>
        <v>0</v>
      </c>
      <c r="CM31" s="241">
        <f t="shared" ref="CM31:DC31" si="31">CM29*CM30</f>
        <v>0</v>
      </c>
      <c r="CN31" s="241">
        <f t="shared" si="31"/>
        <v>0</v>
      </c>
      <c r="CO31" s="241">
        <f t="shared" si="31"/>
        <v>0</v>
      </c>
      <c r="CP31" s="241">
        <f t="shared" si="31"/>
        <v>0</v>
      </c>
      <c r="CQ31" s="241">
        <f t="shared" si="31"/>
        <v>0</v>
      </c>
      <c r="CR31" s="241">
        <f t="shared" si="31"/>
        <v>0</v>
      </c>
      <c r="CS31" s="241">
        <f t="shared" si="31"/>
        <v>0</v>
      </c>
      <c r="CT31" s="241">
        <f t="shared" si="31"/>
        <v>0</v>
      </c>
      <c r="CU31" s="241">
        <f t="shared" si="31"/>
        <v>0</v>
      </c>
      <c r="CV31" s="241">
        <f t="shared" si="31"/>
        <v>0</v>
      </c>
      <c r="CW31" s="241">
        <f t="shared" si="31"/>
        <v>0</v>
      </c>
      <c r="CX31" s="241">
        <f t="shared" si="31"/>
        <v>0</v>
      </c>
      <c r="CY31" s="241">
        <f t="shared" si="31"/>
        <v>0</v>
      </c>
      <c r="CZ31" s="241">
        <f t="shared" si="31"/>
        <v>0</v>
      </c>
      <c r="DA31" s="241">
        <f t="shared" si="31"/>
        <v>0</v>
      </c>
      <c r="DB31" s="241">
        <f t="shared" si="31"/>
        <v>0</v>
      </c>
      <c r="DC31" s="241">
        <f t="shared" si="31"/>
        <v>0</v>
      </c>
    </row>
    <row r="32" spans="2:107" ht="15" customHeight="1" x14ac:dyDescent="0.25">
      <c r="B32" s="899">
        <v>16</v>
      </c>
      <c r="C32" s="225" t="s">
        <v>4214</v>
      </c>
      <c r="D32" s="225"/>
      <c r="E32" s="231" t="s">
        <v>4208</v>
      </c>
      <c r="F32" s="232" t="s">
        <v>4235</v>
      </c>
      <c r="G32" s="237" t="str">
        <f>IF(COUNTA(H32:DC32)=0,"",IF(OR(LARGE(H32:DC32,1)&gt;3,SMALL(H32:DC32,1)&lt;0),"ERRO",""))</f>
        <v/>
      </c>
      <c r="H32" s="471">
        <f t="shared" ref="H32:AM32" si="32">H13</f>
        <v>0</v>
      </c>
      <c r="I32" s="471">
        <f t="shared" si="32"/>
        <v>0</v>
      </c>
      <c r="J32" s="471">
        <f t="shared" si="32"/>
        <v>0</v>
      </c>
      <c r="K32" s="471">
        <f t="shared" si="32"/>
        <v>0</v>
      </c>
      <c r="L32" s="471">
        <f t="shared" si="32"/>
        <v>0</v>
      </c>
      <c r="M32" s="471">
        <f t="shared" si="32"/>
        <v>0</v>
      </c>
      <c r="N32" s="471">
        <f t="shared" si="32"/>
        <v>0</v>
      </c>
      <c r="O32" s="471">
        <f t="shared" si="32"/>
        <v>0</v>
      </c>
      <c r="P32" s="471">
        <f t="shared" si="32"/>
        <v>0</v>
      </c>
      <c r="Q32" s="471">
        <f t="shared" si="32"/>
        <v>0</v>
      </c>
      <c r="R32" s="471">
        <f t="shared" si="32"/>
        <v>0</v>
      </c>
      <c r="S32" s="471">
        <f t="shared" si="32"/>
        <v>0</v>
      </c>
      <c r="T32" s="471">
        <f t="shared" si="32"/>
        <v>0</v>
      </c>
      <c r="U32" s="471">
        <f t="shared" si="32"/>
        <v>0</v>
      </c>
      <c r="V32" s="471">
        <f t="shared" si="32"/>
        <v>0</v>
      </c>
      <c r="W32" s="471">
        <f t="shared" si="32"/>
        <v>0</v>
      </c>
      <c r="X32" s="471">
        <f t="shared" si="32"/>
        <v>0</v>
      </c>
      <c r="Y32" s="471">
        <f t="shared" si="32"/>
        <v>0</v>
      </c>
      <c r="Z32" s="471">
        <f t="shared" si="32"/>
        <v>0</v>
      </c>
      <c r="AA32" s="471">
        <f t="shared" si="32"/>
        <v>0</v>
      </c>
      <c r="AB32" s="471">
        <f t="shared" si="32"/>
        <v>0</v>
      </c>
      <c r="AC32" s="471">
        <f t="shared" si="32"/>
        <v>0</v>
      </c>
      <c r="AD32" s="471">
        <f t="shared" si="32"/>
        <v>0</v>
      </c>
      <c r="AE32" s="471">
        <f t="shared" si="32"/>
        <v>0</v>
      </c>
      <c r="AF32" s="471">
        <f t="shared" si="32"/>
        <v>0</v>
      </c>
      <c r="AG32" s="471">
        <f t="shared" si="32"/>
        <v>0</v>
      </c>
      <c r="AH32" s="471">
        <f t="shared" si="32"/>
        <v>0</v>
      </c>
      <c r="AI32" s="471">
        <f t="shared" si="32"/>
        <v>0</v>
      </c>
      <c r="AJ32" s="471">
        <f t="shared" si="32"/>
        <v>0</v>
      </c>
      <c r="AK32" s="471">
        <f t="shared" si="32"/>
        <v>0</v>
      </c>
      <c r="AL32" s="471">
        <f t="shared" si="32"/>
        <v>0</v>
      </c>
      <c r="AM32" s="471">
        <f t="shared" si="32"/>
        <v>0</v>
      </c>
      <c r="AN32" s="471">
        <f t="shared" ref="AN32:BS32" si="33">AN13</f>
        <v>0</v>
      </c>
      <c r="AO32" s="471">
        <f t="shared" si="33"/>
        <v>0</v>
      </c>
      <c r="AP32" s="471">
        <f t="shared" si="33"/>
        <v>0</v>
      </c>
      <c r="AQ32" s="471">
        <f t="shared" si="33"/>
        <v>0</v>
      </c>
      <c r="AR32" s="471">
        <f t="shared" si="33"/>
        <v>0</v>
      </c>
      <c r="AS32" s="471">
        <f t="shared" si="33"/>
        <v>0</v>
      </c>
      <c r="AT32" s="471">
        <f t="shared" si="33"/>
        <v>0</v>
      </c>
      <c r="AU32" s="471">
        <f t="shared" si="33"/>
        <v>0</v>
      </c>
      <c r="AV32" s="471">
        <f t="shared" si="33"/>
        <v>0</v>
      </c>
      <c r="AW32" s="471">
        <f t="shared" si="33"/>
        <v>0</v>
      </c>
      <c r="AX32" s="471">
        <f t="shared" si="33"/>
        <v>0</v>
      </c>
      <c r="AY32" s="471">
        <f t="shared" si="33"/>
        <v>0</v>
      </c>
      <c r="AZ32" s="471">
        <f t="shared" si="33"/>
        <v>0</v>
      </c>
      <c r="BA32" s="471">
        <f t="shared" si="33"/>
        <v>0</v>
      </c>
      <c r="BB32" s="471">
        <f t="shared" si="33"/>
        <v>0</v>
      </c>
      <c r="BC32" s="471">
        <f t="shared" si="33"/>
        <v>0</v>
      </c>
      <c r="BD32" s="471">
        <f t="shared" si="33"/>
        <v>0</v>
      </c>
      <c r="BE32" s="471">
        <f t="shared" si="33"/>
        <v>0</v>
      </c>
      <c r="BF32" s="471">
        <f t="shared" si="33"/>
        <v>0</v>
      </c>
      <c r="BG32" s="471">
        <f t="shared" si="33"/>
        <v>0</v>
      </c>
      <c r="BH32" s="471">
        <f t="shared" si="33"/>
        <v>0</v>
      </c>
      <c r="BI32" s="471">
        <f t="shared" si="33"/>
        <v>0</v>
      </c>
      <c r="BJ32" s="471">
        <f t="shared" si="33"/>
        <v>0</v>
      </c>
      <c r="BK32" s="471">
        <f t="shared" si="33"/>
        <v>0</v>
      </c>
      <c r="BL32" s="471">
        <f t="shared" si="33"/>
        <v>0</v>
      </c>
      <c r="BM32" s="471">
        <f t="shared" si="33"/>
        <v>0</v>
      </c>
      <c r="BN32" s="471">
        <f t="shared" si="33"/>
        <v>0</v>
      </c>
      <c r="BO32" s="471">
        <f t="shared" si="33"/>
        <v>0</v>
      </c>
      <c r="BP32" s="471">
        <f t="shared" si="33"/>
        <v>0</v>
      </c>
      <c r="BQ32" s="471">
        <f t="shared" si="33"/>
        <v>0</v>
      </c>
      <c r="BR32" s="471">
        <f t="shared" si="33"/>
        <v>0</v>
      </c>
      <c r="BS32" s="471">
        <f t="shared" si="33"/>
        <v>0</v>
      </c>
      <c r="BT32" s="471">
        <f t="shared" ref="BT32:DC32" si="34">BT13</f>
        <v>0</v>
      </c>
      <c r="BU32" s="471">
        <f t="shared" si="34"/>
        <v>0</v>
      </c>
      <c r="BV32" s="471">
        <f t="shared" si="34"/>
        <v>0</v>
      </c>
      <c r="BW32" s="471">
        <f t="shared" si="34"/>
        <v>0</v>
      </c>
      <c r="BX32" s="471">
        <f t="shared" si="34"/>
        <v>0</v>
      </c>
      <c r="BY32" s="471">
        <f t="shared" si="34"/>
        <v>0</v>
      </c>
      <c r="BZ32" s="471">
        <f t="shared" si="34"/>
        <v>0</v>
      </c>
      <c r="CA32" s="471">
        <f t="shared" si="34"/>
        <v>0</v>
      </c>
      <c r="CB32" s="471">
        <f t="shared" si="34"/>
        <v>0</v>
      </c>
      <c r="CC32" s="471">
        <f t="shared" si="34"/>
        <v>0</v>
      </c>
      <c r="CD32" s="471">
        <f t="shared" si="34"/>
        <v>0</v>
      </c>
      <c r="CE32" s="471">
        <f t="shared" si="34"/>
        <v>0</v>
      </c>
      <c r="CF32" s="471">
        <f t="shared" si="34"/>
        <v>0</v>
      </c>
      <c r="CG32" s="471">
        <f t="shared" si="34"/>
        <v>0</v>
      </c>
      <c r="CH32" s="471">
        <f t="shared" si="34"/>
        <v>0</v>
      </c>
      <c r="CI32" s="471">
        <f t="shared" si="34"/>
        <v>0</v>
      </c>
      <c r="CJ32" s="471">
        <f t="shared" si="34"/>
        <v>0</v>
      </c>
      <c r="CK32" s="471">
        <f t="shared" si="34"/>
        <v>0</v>
      </c>
      <c r="CL32" s="471">
        <f t="shared" si="34"/>
        <v>0</v>
      </c>
      <c r="CM32" s="471">
        <f t="shared" si="34"/>
        <v>0</v>
      </c>
      <c r="CN32" s="471">
        <f t="shared" si="34"/>
        <v>0</v>
      </c>
      <c r="CO32" s="471">
        <f t="shared" si="34"/>
        <v>0</v>
      </c>
      <c r="CP32" s="471">
        <f t="shared" si="34"/>
        <v>0</v>
      </c>
      <c r="CQ32" s="471">
        <f t="shared" si="34"/>
        <v>0</v>
      </c>
      <c r="CR32" s="471">
        <f t="shared" si="34"/>
        <v>0</v>
      </c>
      <c r="CS32" s="471">
        <f t="shared" si="34"/>
        <v>0</v>
      </c>
      <c r="CT32" s="471">
        <f t="shared" si="34"/>
        <v>0</v>
      </c>
      <c r="CU32" s="471">
        <f t="shared" si="34"/>
        <v>0</v>
      </c>
      <c r="CV32" s="471">
        <f t="shared" si="34"/>
        <v>0</v>
      </c>
      <c r="CW32" s="471">
        <f t="shared" si="34"/>
        <v>0</v>
      </c>
      <c r="CX32" s="471">
        <f t="shared" si="34"/>
        <v>0</v>
      </c>
      <c r="CY32" s="471">
        <f t="shared" si="34"/>
        <v>0</v>
      </c>
      <c r="CZ32" s="471">
        <f t="shared" si="34"/>
        <v>0</v>
      </c>
      <c r="DA32" s="471">
        <f t="shared" si="34"/>
        <v>0</v>
      </c>
      <c r="DB32" s="471">
        <f t="shared" si="34"/>
        <v>0</v>
      </c>
      <c r="DC32" s="471">
        <f t="shared" si="34"/>
        <v>0</v>
      </c>
    </row>
    <row r="33" spans="2:107" ht="15" customHeight="1" x14ac:dyDescent="0.25">
      <c r="B33" s="900"/>
      <c r="C33" s="225" t="s">
        <v>4216</v>
      </c>
      <c r="D33" s="225"/>
      <c r="E33" s="226" t="s">
        <v>4217</v>
      </c>
      <c r="F33" s="232" t="s">
        <v>4236</v>
      </c>
      <c r="G33" s="237" t="str">
        <f>IF(COUNTA(H33:DC33)=0,"",IF(OR(LARGE(H33:DC33,1)&gt;22,SMALL(H33:DC33,1)&lt;0),"ERRO",""))</f>
        <v/>
      </c>
      <c r="H33" s="471">
        <f t="shared" ref="H33:AM33" si="35">H14</f>
        <v>0</v>
      </c>
      <c r="I33" s="471">
        <f t="shared" si="35"/>
        <v>0</v>
      </c>
      <c r="J33" s="471">
        <f t="shared" si="35"/>
        <v>0</v>
      </c>
      <c r="K33" s="471">
        <f t="shared" si="35"/>
        <v>0</v>
      </c>
      <c r="L33" s="471">
        <f t="shared" si="35"/>
        <v>0</v>
      </c>
      <c r="M33" s="471">
        <f t="shared" si="35"/>
        <v>0</v>
      </c>
      <c r="N33" s="471">
        <f t="shared" si="35"/>
        <v>0</v>
      </c>
      <c r="O33" s="471">
        <f t="shared" si="35"/>
        <v>0</v>
      </c>
      <c r="P33" s="471">
        <f t="shared" si="35"/>
        <v>0</v>
      </c>
      <c r="Q33" s="471">
        <f t="shared" si="35"/>
        <v>0</v>
      </c>
      <c r="R33" s="471">
        <f t="shared" si="35"/>
        <v>0</v>
      </c>
      <c r="S33" s="471">
        <f t="shared" si="35"/>
        <v>0</v>
      </c>
      <c r="T33" s="471">
        <f t="shared" si="35"/>
        <v>0</v>
      </c>
      <c r="U33" s="471">
        <f t="shared" si="35"/>
        <v>0</v>
      </c>
      <c r="V33" s="471">
        <f t="shared" si="35"/>
        <v>0</v>
      </c>
      <c r="W33" s="471">
        <f t="shared" si="35"/>
        <v>0</v>
      </c>
      <c r="X33" s="471">
        <f t="shared" si="35"/>
        <v>0</v>
      </c>
      <c r="Y33" s="471">
        <f t="shared" si="35"/>
        <v>0</v>
      </c>
      <c r="Z33" s="471">
        <f t="shared" si="35"/>
        <v>0</v>
      </c>
      <c r="AA33" s="471">
        <f t="shared" si="35"/>
        <v>0</v>
      </c>
      <c r="AB33" s="471">
        <f t="shared" si="35"/>
        <v>0</v>
      </c>
      <c r="AC33" s="471">
        <f t="shared" si="35"/>
        <v>0</v>
      </c>
      <c r="AD33" s="471">
        <f t="shared" si="35"/>
        <v>0</v>
      </c>
      <c r="AE33" s="471">
        <f t="shared" si="35"/>
        <v>0</v>
      </c>
      <c r="AF33" s="471">
        <f t="shared" si="35"/>
        <v>0</v>
      </c>
      <c r="AG33" s="471">
        <f t="shared" si="35"/>
        <v>0</v>
      </c>
      <c r="AH33" s="471">
        <f t="shared" si="35"/>
        <v>0</v>
      </c>
      <c r="AI33" s="471">
        <f t="shared" si="35"/>
        <v>0</v>
      </c>
      <c r="AJ33" s="471">
        <f t="shared" si="35"/>
        <v>0</v>
      </c>
      <c r="AK33" s="471">
        <f t="shared" si="35"/>
        <v>0</v>
      </c>
      <c r="AL33" s="471">
        <f t="shared" si="35"/>
        <v>0</v>
      </c>
      <c r="AM33" s="471">
        <f t="shared" si="35"/>
        <v>0</v>
      </c>
      <c r="AN33" s="471">
        <f t="shared" ref="AN33:BS33" si="36">AN14</f>
        <v>0</v>
      </c>
      <c r="AO33" s="471">
        <f t="shared" si="36"/>
        <v>0</v>
      </c>
      <c r="AP33" s="471">
        <f t="shared" si="36"/>
        <v>0</v>
      </c>
      <c r="AQ33" s="471">
        <f t="shared" si="36"/>
        <v>0</v>
      </c>
      <c r="AR33" s="471">
        <f t="shared" si="36"/>
        <v>0</v>
      </c>
      <c r="AS33" s="471">
        <f t="shared" si="36"/>
        <v>0</v>
      </c>
      <c r="AT33" s="471">
        <f t="shared" si="36"/>
        <v>0</v>
      </c>
      <c r="AU33" s="471">
        <f t="shared" si="36"/>
        <v>0</v>
      </c>
      <c r="AV33" s="471">
        <f t="shared" si="36"/>
        <v>0</v>
      </c>
      <c r="AW33" s="471">
        <f t="shared" si="36"/>
        <v>0</v>
      </c>
      <c r="AX33" s="471">
        <f t="shared" si="36"/>
        <v>0</v>
      </c>
      <c r="AY33" s="471">
        <f t="shared" si="36"/>
        <v>0</v>
      </c>
      <c r="AZ33" s="471">
        <f t="shared" si="36"/>
        <v>0</v>
      </c>
      <c r="BA33" s="471">
        <f t="shared" si="36"/>
        <v>0</v>
      </c>
      <c r="BB33" s="471">
        <f t="shared" si="36"/>
        <v>0</v>
      </c>
      <c r="BC33" s="471">
        <f t="shared" si="36"/>
        <v>0</v>
      </c>
      <c r="BD33" s="471">
        <f t="shared" si="36"/>
        <v>0</v>
      </c>
      <c r="BE33" s="471">
        <f t="shared" si="36"/>
        <v>0</v>
      </c>
      <c r="BF33" s="471">
        <f t="shared" si="36"/>
        <v>0</v>
      </c>
      <c r="BG33" s="471">
        <f t="shared" si="36"/>
        <v>0</v>
      </c>
      <c r="BH33" s="471">
        <f t="shared" si="36"/>
        <v>0</v>
      </c>
      <c r="BI33" s="471">
        <f t="shared" si="36"/>
        <v>0</v>
      </c>
      <c r="BJ33" s="471">
        <f t="shared" si="36"/>
        <v>0</v>
      </c>
      <c r="BK33" s="471">
        <f t="shared" si="36"/>
        <v>0</v>
      </c>
      <c r="BL33" s="471">
        <f t="shared" si="36"/>
        <v>0</v>
      </c>
      <c r="BM33" s="471">
        <f t="shared" si="36"/>
        <v>0</v>
      </c>
      <c r="BN33" s="471">
        <f t="shared" si="36"/>
        <v>0</v>
      </c>
      <c r="BO33" s="471">
        <f t="shared" si="36"/>
        <v>0</v>
      </c>
      <c r="BP33" s="471">
        <f t="shared" si="36"/>
        <v>0</v>
      </c>
      <c r="BQ33" s="471">
        <f t="shared" si="36"/>
        <v>0</v>
      </c>
      <c r="BR33" s="471">
        <f t="shared" si="36"/>
        <v>0</v>
      </c>
      <c r="BS33" s="471">
        <f t="shared" si="36"/>
        <v>0</v>
      </c>
      <c r="BT33" s="471">
        <f t="shared" ref="BT33:DC33" si="37">BT14</f>
        <v>0</v>
      </c>
      <c r="BU33" s="471">
        <f t="shared" si="37"/>
        <v>0</v>
      </c>
      <c r="BV33" s="471">
        <f t="shared" si="37"/>
        <v>0</v>
      </c>
      <c r="BW33" s="471">
        <f t="shared" si="37"/>
        <v>0</v>
      </c>
      <c r="BX33" s="471">
        <f t="shared" si="37"/>
        <v>0</v>
      </c>
      <c r="BY33" s="471">
        <f t="shared" si="37"/>
        <v>0</v>
      </c>
      <c r="BZ33" s="471">
        <f t="shared" si="37"/>
        <v>0</v>
      </c>
      <c r="CA33" s="471">
        <f t="shared" si="37"/>
        <v>0</v>
      </c>
      <c r="CB33" s="471">
        <f t="shared" si="37"/>
        <v>0</v>
      </c>
      <c r="CC33" s="471">
        <f t="shared" si="37"/>
        <v>0</v>
      </c>
      <c r="CD33" s="471">
        <f t="shared" si="37"/>
        <v>0</v>
      </c>
      <c r="CE33" s="471">
        <f t="shared" si="37"/>
        <v>0</v>
      </c>
      <c r="CF33" s="471">
        <f t="shared" si="37"/>
        <v>0</v>
      </c>
      <c r="CG33" s="471">
        <f t="shared" si="37"/>
        <v>0</v>
      </c>
      <c r="CH33" s="471">
        <f t="shared" si="37"/>
        <v>0</v>
      </c>
      <c r="CI33" s="471">
        <f t="shared" si="37"/>
        <v>0</v>
      </c>
      <c r="CJ33" s="471">
        <f t="shared" si="37"/>
        <v>0</v>
      </c>
      <c r="CK33" s="471">
        <f t="shared" si="37"/>
        <v>0</v>
      </c>
      <c r="CL33" s="471">
        <f t="shared" si="37"/>
        <v>0</v>
      </c>
      <c r="CM33" s="471">
        <f t="shared" si="37"/>
        <v>0</v>
      </c>
      <c r="CN33" s="471">
        <f t="shared" si="37"/>
        <v>0</v>
      </c>
      <c r="CO33" s="471">
        <f t="shared" si="37"/>
        <v>0</v>
      </c>
      <c r="CP33" s="471">
        <f t="shared" si="37"/>
        <v>0</v>
      </c>
      <c r="CQ33" s="471">
        <f t="shared" si="37"/>
        <v>0</v>
      </c>
      <c r="CR33" s="471">
        <f t="shared" si="37"/>
        <v>0</v>
      </c>
      <c r="CS33" s="471">
        <f t="shared" si="37"/>
        <v>0</v>
      </c>
      <c r="CT33" s="471">
        <f t="shared" si="37"/>
        <v>0</v>
      </c>
      <c r="CU33" s="471">
        <f t="shared" si="37"/>
        <v>0</v>
      </c>
      <c r="CV33" s="471">
        <f t="shared" si="37"/>
        <v>0</v>
      </c>
      <c r="CW33" s="471">
        <f t="shared" si="37"/>
        <v>0</v>
      </c>
      <c r="CX33" s="471">
        <f t="shared" si="37"/>
        <v>0</v>
      </c>
      <c r="CY33" s="471">
        <f t="shared" si="37"/>
        <v>0</v>
      </c>
      <c r="CZ33" s="471">
        <f t="shared" si="37"/>
        <v>0</v>
      </c>
      <c r="DA33" s="471">
        <f t="shared" si="37"/>
        <v>0</v>
      </c>
      <c r="DB33" s="471">
        <f t="shared" si="37"/>
        <v>0</v>
      </c>
      <c r="DC33" s="471">
        <f t="shared" si="37"/>
        <v>0</v>
      </c>
    </row>
    <row r="34" spans="2:107" ht="15" customHeight="1" x14ac:dyDescent="0.25">
      <c r="B34" s="900"/>
      <c r="C34" s="225" t="s">
        <v>4219</v>
      </c>
      <c r="D34" s="225"/>
      <c r="E34" s="226" t="s">
        <v>4220</v>
      </c>
      <c r="F34" s="232" t="s">
        <v>4237</v>
      </c>
      <c r="G34" s="237" t="str">
        <f>IF(COUNTA(H34:DC34)=0,"",IF(OR(LARGE(H34:DC34,1)&gt;12,SMALL(H34:DC34,1)&lt;0),"ERRO",""))</f>
        <v/>
      </c>
      <c r="H34" s="471">
        <f t="shared" ref="H34:AM34" si="38">H15</f>
        <v>0</v>
      </c>
      <c r="I34" s="471">
        <f t="shared" si="38"/>
        <v>0</v>
      </c>
      <c r="J34" s="471">
        <f t="shared" si="38"/>
        <v>0</v>
      </c>
      <c r="K34" s="471">
        <f t="shared" si="38"/>
        <v>0</v>
      </c>
      <c r="L34" s="471">
        <f t="shared" si="38"/>
        <v>0</v>
      </c>
      <c r="M34" s="471">
        <f t="shared" si="38"/>
        <v>0</v>
      </c>
      <c r="N34" s="471">
        <f t="shared" si="38"/>
        <v>0</v>
      </c>
      <c r="O34" s="471">
        <f t="shared" si="38"/>
        <v>0</v>
      </c>
      <c r="P34" s="471">
        <f t="shared" si="38"/>
        <v>0</v>
      </c>
      <c r="Q34" s="471">
        <f t="shared" si="38"/>
        <v>0</v>
      </c>
      <c r="R34" s="471">
        <f t="shared" si="38"/>
        <v>0</v>
      </c>
      <c r="S34" s="471">
        <f t="shared" si="38"/>
        <v>0</v>
      </c>
      <c r="T34" s="471">
        <f t="shared" si="38"/>
        <v>0</v>
      </c>
      <c r="U34" s="471">
        <f t="shared" si="38"/>
        <v>0</v>
      </c>
      <c r="V34" s="471">
        <f t="shared" si="38"/>
        <v>0</v>
      </c>
      <c r="W34" s="471">
        <f t="shared" si="38"/>
        <v>0</v>
      </c>
      <c r="X34" s="471">
        <f t="shared" si="38"/>
        <v>0</v>
      </c>
      <c r="Y34" s="471">
        <f t="shared" si="38"/>
        <v>0</v>
      </c>
      <c r="Z34" s="471">
        <f t="shared" si="38"/>
        <v>0</v>
      </c>
      <c r="AA34" s="471">
        <f t="shared" si="38"/>
        <v>0</v>
      </c>
      <c r="AB34" s="471">
        <f t="shared" si="38"/>
        <v>0</v>
      </c>
      <c r="AC34" s="471">
        <f t="shared" si="38"/>
        <v>0</v>
      </c>
      <c r="AD34" s="471">
        <f t="shared" si="38"/>
        <v>0</v>
      </c>
      <c r="AE34" s="471">
        <f t="shared" si="38"/>
        <v>0</v>
      </c>
      <c r="AF34" s="471">
        <f t="shared" si="38"/>
        <v>0</v>
      </c>
      <c r="AG34" s="471">
        <f t="shared" si="38"/>
        <v>0</v>
      </c>
      <c r="AH34" s="471">
        <f t="shared" si="38"/>
        <v>0</v>
      </c>
      <c r="AI34" s="471">
        <f t="shared" si="38"/>
        <v>0</v>
      </c>
      <c r="AJ34" s="471">
        <f t="shared" si="38"/>
        <v>0</v>
      </c>
      <c r="AK34" s="471">
        <f t="shared" si="38"/>
        <v>0</v>
      </c>
      <c r="AL34" s="471">
        <f t="shared" si="38"/>
        <v>0</v>
      </c>
      <c r="AM34" s="471">
        <f t="shared" si="38"/>
        <v>0</v>
      </c>
      <c r="AN34" s="471">
        <f t="shared" ref="AN34:BS34" si="39">AN15</f>
        <v>0</v>
      </c>
      <c r="AO34" s="471">
        <f t="shared" si="39"/>
        <v>0</v>
      </c>
      <c r="AP34" s="471">
        <f t="shared" si="39"/>
        <v>0</v>
      </c>
      <c r="AQ34" s="471">
        <f t="shared" si="39"/>
        <v>0</v>
      </c>
      <c r="AR34" s="471">
        <f t="shared" si="39"/>
        <v>0</v>
      </c>
      <c r="AS34" s="471">
        <f t="shared" si="39"/>
        <v>0</v>
      </c>
      <c r="AT34" s="471">
        <f t="shared" si="39"/>
        <v>0</v>
      </c>
      <c r="AU34" s="471">
        <f t="shared" si="39"/>
        <v>0</v>
      </c>
      <c r="AV34" s="471">
        <f t="shared" si="39"/>
        <v>0</v>
      </c>
      <c r="AW34" s="471">
        <f t="shared" si="39"/>
        <v>0</v>
      </c>
      <c r="AX34" s="471">
        <f t="shared" si="39"/>
        <v>0</v>
      </c>
      <c r="AY34" s="471">
        <f t="shared" si="39"/>
        <v>0</v>
      </c>
      <c r="AZ34" s="471">
        <f t="shared" si="39"/>
        <v>0</v>
      </c>
      <c r="BA34" s="471">
        <f t="shared" si="39"/>
        <v>0</v>
      </c>
      <c r="BB34" s="471">
        <f t="shared" si="39"/>
        <v>0</v>
      </c>
      <c r="BC34" s="471">
        <f t="shared" si="39"/>
        <v>0</v>
      </c>
      <c r="BD34" s="471">
        <f t="shared" si="39"/>
        <v>0</v>
      </c>
      <c r="BE34" s="471">
        <f t="shared" si="39"/>
        <v>0</v>
      </c>
      <c r="BF34" s="471">
        <f t="shared" si="39"/>
        <v>0</v>
      </c>
      <c r="BG34" s="471">
        <f t="shared" si="39"/>
        <v>0</v>
      </c>
      <c r="BH34" s="471">
        <f t="shared" si="39"/>
        <v>0</v>
      </c>
      <c r="BI34" s="471">
        <f t="shared" si="39"/>
        <v>0</v>
      </c>
      <c r="BJ34" s="471">
        <f t="shared" si="39"/>
        <v>0</v>
      </c>
      <c r="BK34" s="471">
        <f t="shared" si="39"/>
        <v>0</v>
      </c>
      <c r="BL34" s="471">
        <f t="shared" si="39"/>
        <v>0</v>
      </c>
      <c r="BM34" s="471">
        <f t="shared" si="39"/>
        <v>0</v>
      </c>
      <c r="BN34" s="471">
        <f t="shared" si="39"/>
        <v>0</v>
      </c>
      <c r="BO34" s="471">
        <f t="shared" si="39"/>
        <v>0</v>
      </c>
      <c r="BP34" s="471">
        <f t="shared" si="39"/>
        <v>0</v>
      </c>
      <c r="BQ34" s="471">
        <f t="shared" si="39"/>
        <v>0</v>
      </c>
      <c r="BR34" s="471">
        <f t="shared" si="39"/>
        <v>0</v>
      </c>
      <c r="BS34" s="471">
        <f t="shared" si="39"/>
        <v>0</v>
      </c>
      <c r="BT34" s="471">
        <f t="shared" ref="BT34:DC34" si="40">BT15</f>
        <v>0</v>
      </c>
      <c r="BU34" s="471">
        <f t="shared" si="40"/>
        <v>0</v>
      </c>
      <c r="BV34" s="471">
        <f t="shared" si="40"/>
        <v>0</v>
      </c>
      <c r="BW34" s="471">
        <f t="shared" si="40"/>
        <v>0</v>
      </c>
      <c r="BX34" s="471">
        <f t="shared" si="40"/>
        <v>0</v>
      </c>
      <c r="BY34" s="471">
        <f t="shared" si="40"/>
        <v>0</v>
      </c>
      <c r="BZ34" s="471">
        <f t="shared" si="40"/>
        <v>0</v>
      </c>
      <c r="CA34" s="471">
        <f t="shared" si="40"/>
        <v>0</v>
      </c>
      <c r="CB34" s="471">
        <f t="shared" si="40"/>
        <v>0</v>
      </c>
      <c r="CC34" s="471">
        <f t="shared" si="40"/>
        <v>0</v>
      </c>
      <c r="CD34" s="471">
        <f t="shared" si="40"/>
        <v>0</v>
      </c>
      <c r="CE34" s="471">
        <f t="shared" si="40"/>
        <v>0</v>
      </c>
      <c r="CF34" s="471">
        <f t="shared" si="40"/>
        <v>0</v>
      </c>
      <c r="CG34" s="471">
        <f t="shared" si="40"/>
        <v>0</v>
      </c>
      <c r="CH34" s="471">
        <f t="shared" si="40"/>
        <v>0</v>
      </c>
      <c r="CI34" s="471">
        <f t="shared" si="40"/>
        <v>0</v>
      </c>
      <c r="CJ34" s="471">
        <f t="shared" si="40"/>
        <v>0</v>
      </c>
      <c r="CK34" s="471">
        <f t="shared" si="40"/>
        <v>0</v>
      </c>
      <c r="CL34" s="471">
        <f t="shared" si="40"/>
        <v>0</v>
      </c>
      <c r="CM34" s="471">
        <f t="shared" si="40"/>
        <v>0</v>
      </c>
      <c r="CN34" s="471">
        <f t="shared" si="40"/>
        <v>0</v>
      </c>
      <c r="CO34" s="471">
        <f t="shared" si="40"/>
        <v>0</v>
      </c>
      <c r="CP34" s="471">
        <f t="shared" si="40"/>
        <v>0</v>
      </c>
      <c r="CQ34" s="471">
        <f t="shared" si="40"/>
        <v>0</v>
      </c>
      <c r="CR34" s="471">
        <f t="shared" si="40"/>
        <v>0</v>
      </c>
      <c r="CS34" s="471">
        <f t="shared" si="40"/>
        <v>0</v>
      </c>
      <c r="CT34" s="471">
        <f t="shared" si="40"/>
        <v>0</v>
      </c>
      <c r="CU34" s="471">
        <f t="shared" si="40"/>
        <v>0</v>
      </c>
      <c r="CV34" s="471">
        <f t="shared" si="40"/>
        <v>0</v>
      </c>
      <c r="CW34" s="471">
        <f t="shared" si="40"/>
        <v>0</v>
      </c>
      <c r="CX34" s="471">
        <f t="shared" si="40"/>
        <v>0</v>
      </c>
      <c r="CY34" s="471">
        <f t="shared" si="40"/>
        <v>0</v>
      </c>
      <c r="CZ34" s="471">
        <f t="shared" si="40"/>
        <v>0</v>
      </c>
      <c r="DA34" s="471">
        <f t="shared" si="40"/>
        <v>0</v>
      </c>
      <c r="DB34" s="471">
        <f t="shared" si="40"/>
        <v>0</v>
      </c>
      <c r="DC34" s="471">
        <f t="shared" si="40"/>
        <v>0</v>
      </c>
    </row>
    <row r="35" spans="2:107" ht="15" customHeight="1" x14ac:dyDescent="0.25">
      <c r="B35" s="900"/>
      <c r="C35" s="225" t="s">
        <v>4222</v>
      </c>
      <c r="D35" s="225"/>
      <c r="E35" s="231" t="s">
        <v>3857</v>
      </c>
      <c r="F35" s="232" t="s">
        <v>4238</v>
      </c>
      <c r="G35" s="554">
        <f>SUM(H35:DC35)</f>
        <v>0</v>
      </c>
      <c r="H35" s="236">
        <f>H27*((H32*H33*H34)/792)</f>
        <v>0</v>
      </c>
      <c r="I35" s="236">
        <f t="shared" ref="I35:Z35" si="41">I27*((I32*I33*I34)/792)</f>
        <v>0</v>
      </c>
      <c r="J35" s="236">
        <f t="shared" si="41"/>
        <v>0</v>
      </c>
      <c r="K35" s="236">
        <f t="shared" si="41"/>
        <v>0</v>
      </c>
      <c r="L35" s="236">
        <f t="shared" si="41"/>
        <v>0</v>
      </c>
      <c r="M35" s="236">
        <f t="shared" si="41"/>
        <v>0</v>
      </c>
      <c r="N35" s="236">
        <f t="shared" si="41"/>
        <v>0</v>
      </c>
      <c r="O35" s="236">
        <f t="shared" si="41"/>
        <v>0</v>
      </c>
      <c r="P35" s="236">
        <f t="shared" si="41"/>
        <v>0</v>
      </c>
      <c r="Q35" s="236">
        <f t="shared" si="41"/>
        <v>0</v>
      </c>
      <c r="R35" s="236">
        <f t="shared" si="41"/>
        <v>0</v>
      </c>
      <c r="S35" s="236">
        <f t="shared" si="41"/>
        <v>0</v>
      </c>
      <c r="T35" s="236">
        <f t="shared" si="41"/>
        <v>0</v>
      </c>
      <c r="U35" s="236">
        <f t="shared" si="41"/>
        <v>0</v>
      </c>
      <c r="V35" s="236">
        <f t="shared" si="41"/>
        <v>0</v>
      </c>
      <c r="W35" s="236">
        <f t="shared" si="41"/>
        <v>0</v>
      </c>
      <c r="X35" s="236">
        <f t="shared" si="41"/>
        <v>0</v>
      </c>
      <c r="Y35" s="236">
        <f t="shared" si="41"/>
        <v>0</v>
      </c>
      <c r="Z35" s="236">
        <f t="shared" si="41"/>
        <v>0</v>
      </c>
      <c r="AA35" s="236">
        <f t="shared" ref="AA35:CL35" si="42">AA27*((AA32*AA33*AA34)/792)</f>
        <v>0</v>
      </c>
      <c r="AB35" s="236">
        <f t="shared" si="42"/>
        <v>0</v>
      </c>
      <c r="AC35" s="236">
        <f t="shared" si="42"/>
        <v>0</v>
      </c>
      <c r="AD35" s="236">
        <f t="shared" si="42"/>
        <v>0</v>
      </c>
      <c r="AE35" s="236">
        <f t="shared" si="42"/>
        <v>0</v>
      </c>
      <c r="AF35" s="236">
        <f t="shared" si="42"/>
        <v>0</v>
      </c>
      <c r="AG35" s="236">
        <f t="shared" si="42"/>
        <v>0</v>
      </c>
      <c r="AH35" s="236">
        <f t="shared" si="42"/>
        <v>0</v>
      </c>
      <c r="AI35" s="236">
        <f t="shared" si="42"/>
        <v>0</v>
      </c>
      <c r="AJ35" s="236">
        <f t="shared" si="42"/>
        <v>0</v>
      </c>
      <c r="AK35" s="236">
        <f t="shared" si="42"/>
        <v>0</v>
      </c>
      <c r="AL35" s="236">
        <f t="shared" si="42"/>
        <v>0</v>
      </c>
      <c r="AM35" s="236">
        <f t="shared" si="42"/>
        <v>0</v>
      </c>
      <c r="AN35" s="236">
        <f t="shared" si="42"/>
        <v>0</v>
      </c>
      <c r="AO35" s="236">
        <f t="shared" si="42"/>
        <v>0</v>
      </c>
      <c r="AP35" s="236">
        <f t="shared" si="42"/>
        <v>0</v>
      </c>
      <c r="AQ35" s="236">
        <f t="shared" si="42"/>
        <v>0</v>
      </c>
      <c r="AR35" s="236">
        <f t="shared" si="42"/>
        <v>0</v>
      </c>
      <c r="AS35" s="236">
        <f t="shared" si="42"/>
        <v>0</v>
      </c>
      <c r="AT35" s="236">
        <f t="shared" si="42"/>
        <v>0</v>
      </c>
      <c r="AU35" s="236">
        <f t="shared" si="42"/>
        <v>0</v>
      </c>
      <c r="AV35" s="236">
        <f t="shared" si="42"/>
        <v>0</v>
      </c>
      <c r="AW35" s="236">
        <f t="shared" si="42"/>
        <v>0</v>
      </c>
      <c r="AX35" s="236">
        <f t="shared" si="42"/>
        <v>0</v>
      </c>
      <c r="AY35" s="236">
        <f t="shared" si="42"/>
        <v>0</v>
      </c>
      <c r="AZ35" s="236">
        <f t="shared" si="42"/>
        <v>0</v>
      </c>
      <c r="BA35" s="236">
        <f t="shared" si="42"/>
        <v>0</v>
      </c>
      <c r="BB35" s="236">
        <f t="shared" si="42"/>
        <v>0</v>
      </c>
      <c r="BC35" s="236">
        <f t="shared" si="42"/>
        <v>0</v>
      </c>
      <c r="BD35" s="236">
        <f t="shared" si="42"/>
        <v>0</v>
      </c>
      <c r="BE35" s="236">
        <f t="shared" si="42"/>
        <v>0</v>
      </c>
      <c r="BF35" s="236">
        <f t="shared" si="42"/>
        <v>0</v>
      </c>
      <c r="BG35" s="236">
        <f t="shared" si="42"/>
        <v>0</v>
      </c>
      <c r="BH35" s="236">
        <f t="shared" si="42"/>
        <v>0</v>
      </c>
      <c r="BI35" s="236">
        <f t="shared" si="42"/>
        <v>0</v>
      </c>
      <c r="BJ35" s="236">
        <f t="shared" si="42"/>
        <v>0</v>
      </c>
      <c r="BK35" s="236">
        <f t="shared" si="42"/>
        <v>0</v>
      </c>
      <c r="BL35" s="236">
        <f t="shared" si="42"/>
        <v>0</v>
      </c>
      <c r="BM35" s="236">
        <f t="shared" si="42"/>
        <v>0</v>
      </c>
      <c r="BN35" s="236">
        <f t="shared" si="42"/>
        <v>0</v>
      </c>
      <c r="BO35" s="236">
        <f t="shared" si="42"/>
        <v>0</v>
      </c>
      <c r="BP35" s="236">
        <f t="shared" si="42"/>
        <v>0</v>
      </c>
      <c r="BQ35" s="236">
        <f t="shared" si="42"/>
        <v>0</v>
      </c>
      <c r="BR35" s="236">
        <f t="shared" si="42"/>
        <v>0</v>
      </c>
      <c r="BS35" s="236">
        <f t="shared" si="42"/>
        <v>0</v>
      </c>
      <c r="BT35" s="236">
        <f t="shared" si="42"/>
        <v>0</v>
      </c>
      <c r="BU35" s="236">
        <f t="shared" si="42"/>
        <v>0</v>
      </c>
      <c r="BV35" s="236">
        <f t="shared" si="42"/>
        <v>0</v>
      </c>
      <c r="BW35" s="236">
        <f t="shared" si="42"/>
        <v>0</v>
      </c>
      <c r="BX35" s="236">
        <f t="shared" si="42"/>
        <v>0</v>
      </c>
      <c r="BY35" s="236">
        <f t="shared" si="42"/>
        <v>0</v>
      </c>
      <c r="BZ35" s="236">
        <f t="shared" si="42"/>
        <v>0</v>
      </c>
      <c r="CA35" s="236">
        <f t="shared" si="42"/>
        <v>0</v>
      </c>
      <c r="CB35" s="236">
        <f t="shared" si="42"/>
        <v>0</v>
      </c>
      <c r="CC35" s="236">
        <f t="shared" si="42"/>
        <v>0</v>
      </c>
      <c r="CD35" s="236">
        <f t="shared" si="42"/>
        <v>0</v>
      </c>
      <c r="CE35" s="236">
        <f t="shared" si="42"/>
        <v>0</v>
      </c>
      <c r="CF35" s="236">
        <f t="shared" si="42"/>
        <v>0</v>
      </c>
      <c r="CG35" s="236">
        <f t="shared" si="42"/>
        <v>0</v>
      </c>
      <c r="CH35" s="236">
        <f t="shared" si="42"/>
        <v>0</v>
      </c>
      <c r="CI35" s="236">
        <f t="shared" si="42"/>
        <v>0</v>
      </c>
      <c r="CJ35" s="236">
        <f t="shared" si="42"/>
        <v>0</v>
      </c>
      <c r="CK35" s="236">
        <f t="shared" si="42"/>
        <v>0</v>
      </c>
      <c r="CL35" s="236">
        <f t="shared" si="42"/>
        <v>0</v>
      </c>
      <c r="CM35" s="236">
        <f t="shared" ref="CM35:DC35" si="43">CM27*((CM32*CM33*CM34)/792)</f>
        <v>0</v>
      </c>
      <c r="CN35" s="236">
        <f t="shared" si="43"/>
        <v>0</v>
      </c>
      <c r="CO35" s="236">
        <f t="shared" si="43"/>
        <v>0</v>
      </c>
      <c r="CP35" s="236">
        <f t="shared" si="43"/>
        <v>0</v>
      </c>
      <c r="CQ35" s="236">
        <f t="shared" si="43"/>
        <v>0</v>
      </c>
      <c r="CR35" s="236">
        <f t="shared" si="43"/>
        <v>0</v>
      </c>
      <c r="CS35" s="236">
        <f t="shared" si="43"/>
        <v>0</v>
      </c>
      <c r="CT35" s="236">
        <f t="shared" si="43"/>
        <v>0</v>
      </c>
      <c r="CU35" s="236">
        <f t="shared" si="43"/>
        <v>0</v>
      </c>
      <c r="CV35" s="236">
        <f t="shared" si="43"/>
        <v>0</v>
      </c>
      <c r="CW35" s="236">
        <f t="shared" si="43"/>
        <v>0</v>
      </c>
      <c r="CX35" s="236">
        <f t="shared" si="43"/>
        <v>0</v>
      </c>
      <c r="CY35" s="236">
        <f t="shared" si="43"/>
        <v>0</v>
      </c>
      <c r="CZ35" s="236">
        <f t="shared" si="43"/>
        <v>0</v>
      </c>
      <c r="DA35" s="236">
        <f t="shared" si="43"/>
        <v>0</v>
      </c>
      <c r="DB35" s="236">
        <f t="shared" si="43"/>
        <v>0</v>
      </c>
      <c r="DC35" s="236">
        <f t="shared" si="43"/>
        <v>0</v>
      </c>
    </row>
    <row r="36" spans="2:107" ht="15" customHeight="1" x14ac:dyDescent="0.25">
      <c r="B36" s="901"/>
      <c r="C36" s="225" t="s">
        <v>4224</v>
      </c>
      <c r="D36" s="225"/>
      <c r="E36" s="225"/>
      <c r="F36" s="232" t="s">
        <v>4239</v>
      </c>
      <c r="G36" s="237" t="str">
        <f>IF(COUNTA(H36:DC36)=0,"",IF(OR(LARGE(H36:DC36,1)&gt;1,SMALL(H36:DC36,1)&lt;0),"ERRO",""))</f>
        <v/>
      </c>
      <c r="H36" s="242">
        <f>IF(H27=0,0,H35/H27)</f>
        <v>0</v>
      </c>
      <c r="I36" s="242">
        <f t="shared" ref="I36:Z36" si="44">IF(I27=0,0,I35/I27)</f>
        <v>0</v>
      </c>
      <c r="J36" s="242">
        <f t="shared" si="44"/>
        <v>0</v>
      </c>
      <c r="K36" s="242">
        <f t="shared" si="44"/>
        <v>0</v>
      </c>
      <c r="L36" s="242">
        <f t="shared" si="44"/>
        <v>0</v>
      </c>
      <c r="M36" s="242">
        <f t="shared" si="44"/>
        <v>0</v>
      </c>
      <c r="N36" s="242">
        <f t="shared" si="44"/>
        <v>0</v>
      </c>
      <c r="O36" s="242">
        <f t="shared" si="44"/>
        <v>0</v>
      </c>
      <c r="P36" s="242">
        <f t="shared" si="44"/>
        <v>0</v>
      </c>
      <c r="Q36" s="242">
        <f t="shared" si="44"/>
        <v>0</v>
      </c>
      <c r="R36" s="242">
        <f t="shared" si="44"/>
        <v>0</v>
      </c>
      <c r="S36" s="242">
        <f t="shared" si="44"/>
        <v>0</v>
      </c>
      <c r="T36" s="242">
        <f t="shared" si="44"/>
        <v>0</v>
      </c>
      <c r="U36" s="242">
        <f t="shared" si="44"/>
        <v>0</v>
      </c>
      <c r="V36" s="242">
        <f t="shared" si="44"/>
        <v>0</v>
      </c>
      <c r="W36" s="242">
        <f t="shared" si="44"/>
        <v>0</v>
      </c>
      <c r="X36" s="242">
        <f t="shared" si="44"/>
        <v>0</v>
      </c>
      <c r="Y36" s="242">
        <f t="shared" si="44"/>
        <v>0</v>
      </c>
      <c r="Z36" s="242">
        <f t="shared" si="44"/>
        <v>0</v>
      </c>
      <c r="AA36" s="242">
        <f t="shared" ref="AA36:CL36" si="45">IF(AA27=0,0,AA35/AA27)</f>
        <v>0</v>
      </c>
      <c r="AB36" s="242">
        <f t="shared" si="45"/>
        <v>0</v>
      </c>
      <c r="AC36" s="242">
        <f t="shared" si="45"/>
        <v>0</v>
      </c>
      <c r="AD36" s="242">
        <f t="shared" si="45"/>
        <v>0</v>
      </c>
      <c r="AE36" s="242">
        <f t="shared" si="45"/>
        <v>0</v>
      </c>
      <c r="AF36" s="242">
        <f t="shared" si="45"/>
        <v>0</v>
      </c>
      <c r="AG36" s="242">
        <f t="shared" si="45"/>
        <v>0</v>
      </c>
      <c r="AH36" s="242">
        <f t="shared" si="45"/>
        <v>0</v>
      </c>
      <c r="AI36" s="242">
        <f t="shared" si="45"/>
        <v>0</v>
      </c>
      <c r="AJ36" s="242">
        <f t="shared" si="45"/>
        <v>0</v>
      </c>
      <c r="AK36" s="242">
        <f t="shared" si="45"/>
        <v>0</v>
      </c>
      <c r="AL36" s="242">
        <f t="shared" si="45"/>
        <v>0</v>
      </c>
      <c r="AM36" s="242">
        <f t="shared" si="45"/>
        <v>0</v>
      </c>
      <c r="AN36" s="242">
        <f t="shared" si="45"/>
        <v>0</v>
      </c>
      <c r="AO36" s="242">
        <f t="shared" si="45"/>
        <v>0</v>
      </c>
      <c r="AP36" s="242">
        <f t="shared" si="45"/>
        <v>0</v>
      </c>
      <c r="AQ36" s="242">
        <f t="shared" si="45"/>
        <v>0</v>
      </c>
      <c r="AR36" s="242">
        <f t="shared" si="45"/>
        <v>0</v>
      </c>
      <c r="AS36" s="242">
        <f t="shared" si="45"/>
        <v>0</v>
      </c>
      <c r="AT36" s="242">
        <f t="shared" si="45"/>
        <v>0</v>
      </c>
      <c r="AU36" s="242">
        <f t="shared" si="45"/>
        <v>0</v>
      </c>
      <c r="AV36" s="242">
        <f t="shared" si="45"/>
        <v>0</v>
      </c>
      <c r="AW36" s="242">
        <f t="shared" si="45"/>
        <v>0</v>
      </c>
      <c r="AX36" s="242">
        <f t="shared" si="45"/>
        <v>0</v>
      </c>
      <c r="AY36" s="242">
        <f t="shared" si="45"/>
        <v>0</v>
      </c>
      <c r="AZ36" s="242">
        <f t="shared" si="45"/>
        <v>0</v>
      </c>
      <c r="BA36" s="242">
        <f t="shared" si="45"/>
        <v>0</v>
      </c>
      <c r="BB36" s="242">
        <f t="shared" si="45"/>
        <v>0</v>
      </c>
      <c r="BC36" s="242">
        <f t="shared" si="45"/>
        <v>0</v>
      </c>
      <c r="BD36" s="242">
        <f t="shared" si="45"/>
        <v>0</v>
      </c>
      <c r="BE36" s="242">
        <f t="shared" si="45"/>
        <v>0</v>
      </c>
      <c r="BF36" s="242">
        <f t="shared" si="45"/>
        <v>0</v>
      </c>
      <c r="BG36" s="242">
        <f t="shared" si="45"/>
        <v>0</v>
      </c>
      <c r="BH36" s="242">
        <f t="shared" si="45"/>
        <v>0</v>
      </c>
      <c r="BI36" s="242">
        <f t="shared" si="45"/>
        <v>0</v>
      </c>
      <c r="BJ36" s="242">
        <f t="shared" si="45"/>
        <v>0</v>
      </c>
      <c r="BK36" s="242">
        <f t="shared" si="45"/>
        <v>0</v>
      </c>
      <c r="BL36" s="242">
        <f t="shared" si="45"/>
        <v>0</v>
      </c>
      <c r="BM36" s="242">
        <f t="shared" si="45"/>
        <v>0</v>
      </c>
      <c r="BN36" s="242">
        <f t="shared" si="45"/>
        <v>0</v>
      </c>
      <c r="BO36" s="242">
        <f t="shared" si="45"/>
        <v>0</v>
      </c>
      <c r="BP36" s="242">
        <f t="shared" si="45"/>
        <v>0</v>
      </c>
      <c r="BQ36" s="242">
        <f t="shared" si="45"/>
        <v>0</v>
      </c>
      <c r="BR36" s="242">
        <f t="shared" si="45"/>
        <v>0</v>
      </c>
      <c r="BS36" s="242">
        <f t="shared" si="45"/>
        <v>0</v>
      </c>
      <c r="BT36" s="242">
        <f t="shared" si="45"/>
        <v>0</v>
      </c>
      <c r="BU36" s="242">
        <f t="shared" si="45"/>
        <v>0</v>
      </c>
      <c r="BV36" s="242">
        <f t="shared" si="45"/>
        <v>0</v>
      </c>
      <c r="BW36" s="242">
        <f t="shared" si="45"/>
        <v>0</v>
      </c>
      <c r="BX36" s="242">
        <f t="shared" si="45"/>
        <v>0</v>
      </c>
      <c r="BY36" s="242">
        <f t="shared" si="45"/>
        <v>0</v>
      </c>
      <c r="BZ36" s="242">
        <f t="shared" si="45"/>
        <v>0</v>
      </c>
      <c r="CA36" s="242">
        <f t="shared" si="45"/>
        <v>0</v>
      </c>
      <c r="CB36" s="242">
        <f t="shared" si="45"/>
        <v>0</v>
      </c>
      <c r="CC36" s="242">
        <f t="shared" si="45"/>
        <v>0</v>
      </c>
      <c r="CD36" s="242">
        <f t="shared" si="45"/>
        <v>0</v>
      </c>
      <c r="CE36" s="242">
        <f t="shared" si="45"/>
        <v>0</v>
      </c>
      <c r="CF36" s="242">
        <f t="shared" si="45"/>
        <v>0</v>
      </c>
      <c r="CG36" s="242">
        <f t="shared" si="45"/>
        <v>0</v>
      </c>
      <c r="CH36" s="242">
        <f t="shared" si="45"/>
        <v>0</v>
      </c>
      <c r="CI36" s="242">
        <f t="shared" si="45"/>
        <v>0</v>
      </c>
      <c r="CJ36" s="242">
        <f t="shared" si="45"/>
        <v>0</v>
      </c>
      <c r="CK36" s="242">
        <f t="shared" si="45"/>
        <v>0</v>
      </c>
      <c r="CL36" s="242">
        <f t="shared" si="45"/>
        <v>0</v>
      </c>
      <c r="CM36" s="242">
        <f t="shared" ref="CM36:DC36" si="46">IF(CM27=0,0,CM35/CM27)</f>
        <v>0</v>
      </c>
      <c r="CN36" s="242">
        <f t="shared" si="46"/>
        <v>0</v>
      </c>
      <c r="CO36" s="242">
        <f t="shared" si="46"/>
        <v>0</v>
      </c>
      <c r="CP36" s="242">
        <f t="shared" si="46"/>
        <v>0</v>
      </c>
      <c r="CQ36" s="242">
        <f t="shared" si="46"/>
        <v>0</v>
      </c>
      <c r="CR36" s="242">
        <f t="shared" si="46"/>
        <v>0</v>
      </c>
      <c r="CS36" s="242">
        <f t="shared" si="46"/>
        <v>0</v>
      </c>
      <c r="CT36" s="242">
        <f t="shared" si="46"/>
        <v>0</v>
      </c>
      <c r="CU36" s="242">
        <f t="shared" si="46"/>
        <v>0</v>
      </c>
      <c r="CV36" s="242">
        <f t="shared" si="46"/>
        <v>0</v>
      </c>
      <c r="CW36" s="242">
        <f t="shared" si="46"/>
        <v>0</v>
      </c>
      <c r="CX36" s="242">
        <f t="shared" si="46"/>
        <v>0</v>
      </c>
      <c r="CY36" s="242">
        <f t="shared" si="46"/>
        <v>0</v>
      </c>
      <c r="CZ36" s="242">
        <f t="shared" si="46"/>
        <v>0</v>
      </c>
      <c r="DA36" s="242">
        <f t="shared" si="46"/>
        <v>0</v>
      </c>
      <c r="DB36" s="242">
        <f t="shared" si="46"/>
        <v>0</v>
      </c>
      <c r="DC36" s="242">
        <f t="shared" si="46"/>
        <v>0</v>
      </c>
    </row>
    <row r="37" spans="2:107" ht="15" customHeight="1" x14ac:dyDescent="0.25">
      <c r="B37" s="515">
        <v>17</v>
      </c>
      <c r="C37" s="225" t="s">
        <v>4226</v>
      </c>
      <c r="D37" s="225"/>
      <c r="E37" s="231" t="s">
        <v>3854</v>
      </c>
      <c r="F37" s="232" t="s">
        <v>4240</v>
      </c>
      <c r="G37" s="554">
        <f>SUM(H37:DC37)</f>
        <v>0</v>
      </c>
      <c r="H37" s="241">
        <f>(H27*H28*H31)/1000</f>
        <v>0</v>
      </c>
      <c r="I37" s="241">
        <f t="shared" ref="I37:Z37" si="47">(I27*I28*I31)/1000</f>
        <v>0</v>
      </c>
      <c r="J37" s="241">
        <f t="shared" si="47"/>
        <v>0</v>
      </c>
      <c r="K37" s="241">
        <f t="shared" si="47"/>
        <v>0</v>
      </c>
      <c r="L37" s="241">
        <f t="shared" si="47"/>
        <v>0</v>
      </c>
      <c r="M37" s="241">
        <f t="shared" si="47"/>
        <v>0</v>
      </c>
      <c r="N37" s="241">
        <f t="shared" si="47"/>
        <v>0</v>
      </c>
      <c r="O37" s="241">
        <f t="shared" si="47"/>
        <v>0</v>
      </c>
      <c r="P37" s="241">
        <f t="shared" si="47"/>
        <v>0</v>
      </c>
      <c r="Q37" s="241">
        <f t="shared" si="47"/>
        <v>0</v>
      </c>
      <c r="R37" s="241">
        <f t="shared" si="47"/>
        <v>0</v>
      </c>
      <c r="S37" s="241">
        <f t="shared" si="47"/>
        <v>0</v>
      </c>
      <c r="T37" s="241">
        <f t="shared" si="47"/>
        <v>0</v>
      </c>
      <c r="U37" s="241">
        <f t="shared" si="47"/>
        <v>0</v>
      </c>
      <c r="V37" s="241">
        <f t="shared" si="47"/>
        <v>0</v>
      </c>
      <c r="W37" s="241">
        <f t="shared" si="47"/>
        <v>0</v>
      </c>
      <c r="X37" s="241">
        <f t="shared" si="47"/>
        <v>0</v>
      </c>
      <c r="Y37" s="241">
        <f t="shared" si="47"/>
        <v>0</v>
      </c>
      <c r="Z37" s="241">
        <f t="shared" si="47"/>
        <v>0</v>
      </c>
      <c r="AA37" s="241">
        <f t="shared" ref="AA37:CL37" si="48">(AA27*AA28*AA31)/1000</f>
        <v>0</v>
      </c>
      <c r="AB37" s="241">
        <f t="shared" si="48"/>
        <v>0</v>
      </c>
      <c r="AC37" s="241">
        <f t="shared" si="48"/>
        <v>0</v>
      </c>
      <c r="AD37" s="241">
        <f t="shared" si="48"/>
        <v>0</v>
      </c>
      <c r="AE37" s="241">
        <f t="shared" si="48"/>
        <v>0</v>
      </c>
      <c r="AF37" s="241">
        <f t="shared" si="48"/>
        <v>0</v>
      </c>
      <c r="AG37" s="241">
        <f t="shared" si="48"/>
        <v>0</v>
      </c>
      <c r="AH37" s="241">
        <f t="shared" si="48"/>
        <v>0</v>
      </c>
      <c r="AI37" s="241">
        <f t="shared" si="48"/>
        <v>0</v>
      </c>
      <c r="AJ37" s="241">
        <f t="shared" si="48"/>
        <v>0</v>
      </c>
      <c r="AK37" s="241">
        <f t="shared" si="48"/>
        <v>0</v>
      </c>
      <c r="AL37" s="241">
        <f t="shared" si="48"/>
        <v>0</v>
      </c>
      <c r="AM37" s="241">
        <f t="shared" si="48"/>
        <v>0</v>
      </c>
      <c r="AN37" s="241">
        <f t="shared" si="48"/>
        <v>0</v>
      </c>
      <c r="AO37" s="241">
        <f t="shared" si="48"/>
        <v>0</v>
      </c>
      <c r="AP37" s="241">
        <f t="shared" si="48"/>
        <v>0</v>
      </c>
      <c r="AQ37" s="241">
        <f t="shared" si="48"/>
        <v>0</v>
      </c>
      <c r="AR37" s="241">
        <f t="shared" si="48"/>
        <v>0</v>
      </c>
      <c r="AS37" s="241">
        <f t="shared" si="48"/>
        <v>0</v>
      </c>
      <c r="AT37" s="241">
        <f t="shared" si="48"/>
        <v>0</v>
      </c>
      <c r="AU37" s="241">
        <f t="shared" si="48"/>
        <v>0</v>
      </c>
      <c r="AV37" s="241">
        <f t="shared" si="48"/>
        <v>0</v>
      </c>
      <c r="AW37" s="241">
        <f t="shared" si="48"/>
        <v>0</v>
      </c>
      <c r="AX37" s="241">
        <f t="shared" si="48"/>
        <v>0</v>
      </c>
      <c r="AY37" s="241">
        <f t="shared" si="48"/>
        <v>0</v>
      </c>
      <c r="AZ37" s="241">
        <f t="shared" si="48"/>
        <v>0</v>
      </c>
      <c r="BA37" s="241">
        <f t="shared" si="48"/>
        <v>0</v>
      </c>
      <c r="BB37" s="241">
        <f t="shared" si="48"/>
        <v>0</v>
      </c>
      <c r="BC37" s="241">
        <f t="shared" si="48"/>
        <v>0</v>
      </c>
      <c r="BD37" s="241">
        <f t="shared" si="48"/>
        <v>0</v>
      </c>
      <c r="BE37" s="241">
        <f t="shared" si="48"/>
        <v>0</v>
      </c>
      <c r="BF37" s="241">
        <f t="shared" si="48"/>
        <v>0</v>
      </c>
      <c r="BG37" s="241">
        <f t="shared" si="48"/>
        <v>0</v>
      </c>
      <c r="BH37" s="241">
        <f t="shared" si="48"/>
        <v>0</v>
      </c>
      <c r="BI37" s="241">
        <f t="shared" si="48"/>
        <v>0</v>
      </c>
      <c r="BJ37" s="241">
        <f t="shared" si="48"/>
        <v>0</v>
      </c>
      <c r="BK37" s="241">
        <f t="shared" si="48"/>
        <v>0</v>
      </c>
      <c r="BL37" s="241">
        <f t="shared" si="48"/>
        <v>0</v>
      </c>
      <c r="BM37" s="241">
        <f t="shared" si="48"/>
        <v>0</v>
      </c>
      <c r="BN37" s="241">
        <f t="shared" si="48"/>
        <v>0</v>
      </c>
      <c r="BO37" s="241">
        <f t="shared" si="48"/>
        <v>0</v>
      </c>
      <c r="BP37" s="241">
        <f t="shared" si="48"/>
        <v>0</v>
      </c>
      <c r="BQ37" s="241">
        <f t="shared" si="48"/>
        <v>0</v>
      </c>
      <c r="BR37" s="241">
        <f t="shared" si="48"/>
        <v>0</v>
      </c>
      <c r="BS37" s="241">
        <f t="shared" si="48"/>
        <v>0</v>
      </c>
      <c r="BT37" s="241">
        <f t="shared" si="48"/>
        <v>0</v>
      </c>
      <c r="BU37" s="241">
        <f t="shared" si="48"/>
        <v>0</v>
      </c>
      <c r="BV37" s="241">
        <f t="shared" si="48"/>
        <v>0</v>
      </c>
      <c r="BW37" s="241">
        <f t="shared" si="48"/>
        <v>0</v>
      </c>
      <c r="BX37" s="241">
        <f t="shared" si="48"/>
        <v>0</v>
      </c>
      <c r="BY37" s="241">
        <f t="shared" si="48"/>
        <v>0</v>
      </c>
      <c r="BZ37" s="241">
        <f t="shared" si="48"/>
        <v>0</v>
      </c>
      <c r="CA37" s="241">
        <f t="shared" si="48"/>
        <v>0</v>
      </c>
      <c r="CB37" s="241">
        <f t="shared" si="48"/>
        <v>0</v>
      </c>
      <c r="CC37" s="241">
        <f t="shared" si="48"/>
        <v>0</v>
      </c>
      <c r="CD37" s="241">
        <f t="shared" si="48"/>
        <v>0</v>
      </c>
      <c r="CE37" s="241">
        <f t="shared" si="48"/>
        <v>0</v>
      </c>
      <c r="CF37" s="241">
        <f t="shared" si="48"/>
        <v>0</v>
      </c>
      <c r="CG37" s="241">
        <f t="shared" si="48"/>
        <v>0</v>
      </c>
      <c r="CH37" s="241">
        <f t="shared" si="48"/>
        <v>0</v>
      </c>
      <c r="CI37" s="241">
        <f t="shared" si="48"/>
        <v>0</v>
      </c>
      <c r="CJ37" s="241">
        <f t="shared" si="48"/>
        <v>0</v>
      </c>
      <c r="CK37" s="241">
        <f t="shared" si="48"/>
        <v>0</v>
      </c>
      <c r="CL37" s="241">
        <f t="shared" si="48"/>
        <v>0</v>
      </c>
      <c r="CM37" s="241">
        <f t="shared" ref="CM37:DC37" si="49">(CM27*CM28*CM31)/1000</f>
        <v>0</v>
      </c>
      <c r="CN37" s="241">
        <f t="shared" si="49"/>
        <v>0</v>
      </c>
      <c r="CO37" s="241">
        <f t="shared" si="49"/>
        <v>0</v>
      </c>
      <c r="CP37" s="241">
        <f t="shared" si="49"/>
        <v>0</v>
      </c>
      <c r="CQ37" s="241">
        <f t="shared" si="49"/>
        <v>0</v>
      </c>
      <c r="CR37" s="241">
        <f t="shared" si="49"/>
        <v>0</v>
      </c>
      <c r="CS37" s="241">
        <f t="shared" si="49"/>
        <v>0</v>
      </c>
      <c r="CT37" s="241">
        <f t="shared" si="49"/>
        <v>0</v>
      </c>
      <c r="CU37" s="241">
        <f t="shared" si="49"/>
        <v>0</v>
      </c>
      <c r="CV37" s="241">
        <f t="shared" si="49"/>
        <v>0</v>
      </c>
      <c r="CW37" s="241">
        <f t="shared" si="49"/>
        <v>0</v>
      </c>
      <c r="CX37" s="241">
        <f t="shared" si="49"/>
        <v>0</v>
      </c>
      <c r="CY37" s="241">
        <f t="shared" si="49"/>
        <v>0</v>
      </c>
      <c r="CZ37" s="241">
        <f t="shared" si="49"/>
        <v>0</v>
      </c>
      <c r="DA37" s="241">
        <f t="shared" si="49"/>
        <v>0</v>
      </c>
      <c r="DB37" s="241">
        <f t="shared" si="49"/>
        <v>0</v>
      </c>
      <c r="DC37" s="241">
        <f t="shared" si="49"/>
        <v>0</v>
      </c>
    </row>
    <row r="38" spans="2:107" ht="15" customHeight="1" x14ac:dyDescent="0.25">
      <c r="B38" s="515">
        <v>18</v>
      </c>
      <c r="C38" s="225" t="s">
        <v>4228</v>
      </c>
      <c r="D38" s="225"/>
      <c r="E38" s="226" t="s">
        <v>3857</v>
      </c>
      <c r="F38" s="232" t="s">
        <v>4241</v>
      </c>
      <c r="G38" s="243">
        <f>SUM(H38:DC38)</f>
        <v>0</v>
      </c>
      <c r="H38" s="244">
        <f>H27*H28*H36</f>
        <v>0</v>
      </c>
      <c r="I38" s="244">
        <f t="shared" ref="I38:Z38" si="50">I27*I28*I36</f>
        <v>0</v>
      </c>
      <c r="J38" s="244">
        <f t="shared" si="50"/>
        <v>0</v>
      </c>
      <c r="K38" s="244">
        <f t="shared" si="50"/>
        <v>0</v>
      </c>
      <c r="L38" s="244">
        <f t="shared" si="50"/>
        <v>0</v>
      </c>
      <c r="M38" s="244">
        <f t="shared" si="50"/>
        <v>0</v>
      </c>
      <c r="N38" s="244">
        <f t="shared" si="50"/>
        <v>0</v>
      </c>
      <c r="O38" s="244">
        <f t="shared" si="50"/>
        <v>0</v>
      </c>
      <c r="P38" s="244">
        <f t="shared" si="50"/>
        <v>0</v>
      </c>
      <c r="Q38" s="244">
        <f t="shared" si="50"/>
        <v>0</v>
      </c>
      <c r="R38" s="244">
        <f t="shared" si="50"/>
        <v>0</v>
      </c>
      <c r="S38" s="244">
        <f t="shared" si="50"/>
        <v>0</v>
      </c>
      <c r="T38" s="244">
        <f t="shared" si="50"/>
        <v>0</v>
      </c>
      <c r="U38" s="244">
        <f t="shared" si="50"/>
        <v>0</v>
      </c>
      <c r="V38" s="244">
        <f t="shared" si="50"/>
        <v>0</v>
      </c>
      <c r="W38" s="244">
        <f t="shared" si="50"/>
        <v>0</v>
      </c>
      <c r="X38" s="244">
        <f t="shared" si="50"/>
        <v>0</v>
      </c>
      <c r="Y38" s="244">
        <f t="shared" si="50"/>
        <v>0</v>
      </c>
      <c r="Z38" s="244">
        <f t="shared" si="50"/>
        <v>0</v>
      </c>
      <c r="AA38" s="244">
        <f t="shared" ref="AA38:CL38" si="51">AA27*AA28*AA36</f>
        <v>0</v>
      </c>
      <c r="AB38" s="244">
        <f t="shared" si="51"/>
        <v>0</v>
      </c>
      <c r="AC38" s="244">
        <f t="shared" si="51"/>
        <v>0</v>
      </c>
      <c r="AD38" s="244">
        <f t="shared" si="51"/>
        <v>0</v>
      </c>
      <c r="AE38" s="244">
        <f t="shared" si="51"/>
        <v>0</v>
      </c>
      <c r="AF38" s="244">
        <f t="shared" si="51"/>
        <v>0</v>
      </c>
      <c r="AG38" s="244">
        <f t="shared" si="51"/>
        <v>0</v>
      </c>
      <c r="AH38" s="244">
        <f t="shared" si="51"/>
        <v>0</v>
      </c>
      <c r="AI38" s="244">
        <f t="shared" si="51"/>
        <v>0</v>
      </c>
      <c r="AJ38" s="244">
        <f t="shared" si="51"/>
        <v>0</v>
      </c>
      <c r="AK38" s="244">
        <f t="shared" si="51"/>
        <v>0</v>
      </c>
      <c r="AL38" s="244">
        <f t="shared" si="51"/>
        <v>0</v>
      </c>
      <c r="AM38" s="244">
        <f t="shared" si="51"/>
        <v>0</v>
      </c>
      <c r="AN38" s="244">
        <f t="shared" si="51"/>
        <v>0</v>
      </c>
      <c r="AO38" s="244">
        <f t="shared" si="51"/>
        <v>0</v>
      </c>
      <c r="AP38" s="244">
        <f t="shared" si="51"/>
        <v>0</v>
      </c>
      <c r="AQ38" s="244">
        <f t="shared" si="51"/>
        <v>0</v>
      </c>
      <c r="AR38" s="244">
        <f t="shared" si="51"/>
        <v>0</v>
      </c>
      <c r="AS38" s="244">
        <f t="shared" si="51"/>
        <v>0</v>
      </c>
      <c r="AT38" s="244">
        <f t="shared" si="51"/>
        <v>0</v>
      </c>
      <c r="AU38" s="244">
        <f t="shared" si="51"/>
        <v>0</v>
      </c>
      <c r="AV38" s="244">
        <f t="shared" si="51"/>
        <v>0</v>
      </c>
      <c r="AW38" s="244">
        <f t="shared" si="51"/>
        <v>0</v>
      </c>
      <c r="AX38" s="244">
        <f t="shared" si="51"/>
        <v>0</v>
      </c>
      <c r="AY38" s="244">
        <f t="shared" si="51"/>
        <v>0</v>
      </c>
      <c r="AZ38" s="244">
        <f t="shared" si="51"/>
        <v>0</v>
      </c>
      <c r="BA38" s="244">
        <f t="shared" si="51"/>
        <v>0</v>
      </c>
      <c r="BB38" s="244">
        <f t="shared" si="51"/>
        <v>0</v>
      </c>
      <c r="BC38" s="244">
        <f t="shared" si="51"/>
        <v>0</v>
      </c>
      <c r="BD38" s="244">
        <f t="shared" si="51"/>
        <v>0</v>
      </c>
      <c r="BE38" s="244">
        <f t="shared" si="51"/>
        <v>0</v>
      </c>
      <c r="BF38" s="244">
        <f t="shared" si="51"/>
        <v>0</v>
      </c>
      <c r="BG38" s="244">
        <f t="shared" si="51"/>
        <v>0</v>
      </c>
      <c r="BH38" s="244">
        <f t="shared" si="51"/>
        <v>0</v>
      </c>
      <c r="BI38" s="244">
        <f t="shared" si="51"/>
        <v>0</v>
      </c>
      <c r="BJ38" s="244">
        <f t="shared" si="51"/>
        <v>0</v>
      </c>
      <c r="BK38" s="244">
        <f t="shared" si="51"/>
        <v>0</v>
      </c>
      <c r="BL38" s="244">
        <f t="shared" si="51"/>
        <v>0</v>
      </c>
      <c r="BM38" s="244">
        <f t="shared" si="51"/>
        <v>0</v>
      </c>
      <c r="BN38" s="244">
        <f t="shared" si="51"/>
        <v>0</v>
      </c>
      <c r="BO38" s="244">
        <f t="shared" si="51"/>
        <v>0</v>
      </c>
      <c r="BP38" s="244">
        <f t="shared" si="51"/>
        <v>0</v>
      </c>
      <c r="BQ38" s="244">
        <f t="shared" si="51"/>
        <v>0</v>
      </c>
      <c r="BR38" s="244">
        <f t="shared" si="51"/>
        <v>0</v>
      </c>
      <c r="BS38" s="244">
        <f t="shared" si="51"/>
        <v>0</v>
      </c>
      <c r="BT38" s="244">
        <f t="shared" si="51"/>
        <v>0</v>
      </c>
      <c r="BU38" s="244">
        <f t="shared" si="51"/>
        <v>0</v>
      </c>
      <c r="BV38" s="244">
        <f t="shared" si="51"/>
        <v>0</v>
      </c>
      <c r="BW38" s="244">
        <f t="shared" si="51"/>
        <v>0</v>
      </c>
      <c r="BX38" s="244">
        <f t="shared" si="51"/>
        <v>0</v>
      </c>
      <c r="BY38" s="244">
        <f t="shared" si="51"/>
        <v>0</v>
      </c>
      <c r="BZ38" s="244">
        <f t="shared" si="51"/>
        <v>0</v>
      </c>
      <c r="CA38" s="244">
        <f t="shared" si="51"/>
        <v>0</v>
      </c>
      <c r="CB38" s="244">
        <f t="shared" si="51"/>
        <v>0</v>
      </c>
      <c r="CC38" s="244">
        <f t="shared" si="51"/>
        <v>0</v>
      </c>
      <c r="CD38" s="244">
        <f t="shared" si="51"/>
        <v>0</v>
      </c>
      <c r="CE38" s="244">
        <f t="shared" si="51"/>
        <v>0</v>
      </c>
      <c r="CF38" s="244">
        <f t="shared" si="51"/>
        <v>0</v>
      </c>
      <c r="CG38" s="244">
        <f t="shared" si="51"/>
        <v>0</v>
      </c>
      <c r="CH38" s="244">
        <f t="shared" si="51"/>
        <v>0</v>
      </c>
      <c r="CI38" s="244">
        <f t="shared" si="51"/>
        <v>0</v>
      </c>
      <c r="CJ38" s="244">
        <f t="shared" si="51"/>
        <v>0</v>
      </c>
      <c r="CK38" s="244">
        <f t="shared" si="51"/>
        <v>0</v>
      </c>
      <c r="CL38" s="244">
        <f t="shared" si="51"/>
        <v>0</v>
      </c>
      <c r="CM38" s="244">
        <f t="shared" ref="CM38:DC38" si="52">CM27*CM28*CM36</f>
        <v>0</v>
      </c>
      <c r="CN38" s="244">
        <f t="shared" si="52"/>
        <v>0</v>
      </c>
      <c r="CO38" s="244">
        <f t="shared" si="52"/>
        <v>0</v>
      </c>
      <c r="CP38" s="244">
        <f t="shared" si="52"/>
        <v>0</v>
      </c>
      <c r="CQ38" s="244">
        <f t="shared" si="52"/>
        <v>0</v>
      </c>
      <c r="CR38" s="244">
        <f t="shared" si="52"/>
        <v>0</v>
      </c>
      <c r="CS38" s="244">
        <f t="shared" si="52"/>
        <v>0</v>
      </c>
      <c r="CT38" s="244">
        <f t="shared" si="52"/>
        <v>0</v>
      </c>
      <c r="CU38" s="244">
        <f t="shared" si="52"/>
        <v>0</v>
      </c>
      <c r="CV38" s="244">
        <f t="shared" si="52"/>
        <v>0</v>
      </c>
      <c r="CW38" s="244">
        <f t="shared" si="52"/>
        <v>0</v>
      </c>
      <c r="CX38" s="244">
        <f t="shared" si="52"/>
        <v>0</v>
      </c>
      <c r="CY38" s="244">
        <f t="shared" si="52"/>
        <v>0</v>
      </c>
      <c r="CZ38" s="244">
        <f t="shared" si="52"/>
        <v>0</v>
      </c>
      <c r="DA38" s="244">
        <f t="shared" si="52"/>
        <v>0</v>
      </c>
      <c r="DB38" s="244">
        <f t="shared" si="52"/>
        <v>0</v>
      </c>
      <c r="DC38" s="244">
        <f t="shared" si="52"/>
        <v>0</v>
      </c>
    </row>
    <row r="40" spans="2:107" ht="15" customHeight="1" x14ac:dyDescent="0.25">
      <c r="B40" s="779" t="s">
        <v>4841</v>
      </c>
      <c r="C40" s="779"/>
      <c r="D40" s="779"/>
      <c r="E40" s="779"/>
      <c r="F40" s="779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</row>
    <row r="41" spans="2:107" s="103" customFormat="1" ht="15" customHeight="1" x14ac:dyDescent="0.25">
      <c r="B41" s="515"/>
      <c r="C41" s="247"/>
      <c r="D41" s="247"/>
      <c r="E41" s="247"/>
      <c r="F41" s="245"/>
      <c r="G41" s="223" t="s">
        <v>76</v>
      </c>
      <c r="H41" s="224" t="s">
        <v>4739</v>
      </c>
      <c r="I41" s="224" t="s">
        <v>4740</v>
      </c>
      <c r="J41" s="224" t="s">
        <v>4741</v>
      </c>
      <c r="K41" s="224" t="s">
        <v>4742</v>
      </c>
      <c r="L41" s="224" t="s">
        <v>4743</v>
      </c>
      <c r="M41" s="224" t="s">
        <v>4744</v>
      </c>
      <c r="N41" s="224" t="s">
        <v>4745</v>
      </c>
      <c r="O41" s="224" t="s">
        <v>4746</v>
      </c>
      <c r="P41" s="224" t="s">
        <v>4747</v>
      </c>
      <c r="Q41" s="224" t="s">
        <v>4748</v>
      </c>
      <c r="R41" s="224" t="s">
        <v>4749</v>
      </c>
      <c r="S41" s="224" t="s">
        <v>4750</v>
      </c>
      <c r="T41" s="224" t="s">
        <v>4751</v>
      </c>
      <c r="U41" s="224" t="s">
        <v>4752</v>
      </c>
      <c r="V41" s="224" t="s">
        <v>4753</v>
      </c>
      <c r="W41" s="224" t="s">
        <v>4754</v>
      </c>
      <c r="X41" s="224" t="s">
        <v>4755</v>
      </c>
      <c r="Y41" s="224" t="s">
        <v>4756</v>
      </c>
      <c r="Z41" s="224" t="s">
        <v>4757</v>
      </c>
      <c r="AA41" s="224" t="s">
        <v>4758</v>
      </c>
      <c r="AB41" s="224" t="s">
        <v>4759</v>
      </c>
      <c r="AC41" s="224" t="s">
        <v>4760</v>
      </c>
      <c r="AD41" s="224" t="s">
        <v>4761</v>
      </c>
      <c r="AE41" s="224" t="s">
        <v>4762</v>
      </c>
      <c r="AF41" s="224" t="s">
        <v>4763</v>
      </c>
      <c r="AG41" s="224" t="s">
        <v>4764</v>
      </c>
      <c r="AH41" s="224" t="s">
        <v>4765</v>
      </c>
      <c r="AI41" s="224" t="s">
        <v>4766</v>
      </c>
      <c r="AJ41" s="224" t="s">
        <v>4767</v>
      </c>
      <c r="AK41" s="224" t="s">
        <v>4768</v>
      </c>
      <c r="AL41" s="224" t="s">
        <v>4769</v>
      </c>
      <c r="AM41" s="224" t="s">
        <v>4770</v>
      </c>
      <c r="AN41" s="224" t="s">
        <v>4771</v>
      </c>
      <c r="AO41" s="224" t="s">
        <v>4772</v>
      </c>
      <c r="AP41" s="224" t="s">
        <v>4773</v>
      </c>
      <c r="AQ41" s="224" t="s">
        <v>4774</v>
      </c>
      <c r="AR41" s="224" t="s">
        <v>4775</v>
      </c>
      <c r="AS41" s="224" t="s">
        <v>4776</v>
      </c>
      <c r="AT41" s="224" t="s">
        <v>4777</v>
      </c>
      <c r="AU41" s="224" t="s">
        <v>4778</v>
      </c>
      <c r="AV41" s="224" t="s">
        <v>4779</v>
      </c>
      <c r="AW41" s="224" t="s">
        <v>4780</v>
      </c>
      <c r="AX41" s="224" t="s">
        <v>4781</v>
      </c>
      <c r="AY41" s="224" t="s">
        <v>4782</v>
      </c>
      <c r="AZ41" s="224" t="s">
        <v>4783</v>
      </c>
      <c r="BA41" s="224" t="s">
        <v>4784</v>
      </c>
      <c r="BB41" s="224" t="s">
        <v>4785</v>
      </c>
      <c r="BC41" s="224" t="s">
        <v>4786</v>
      </c>
      <c r="BD41" s="224" t="s">
        <v>4787</v>
      </c>
      <c r="BE41" s="224" t="s">
        <v>4788</v>
      </c>
      <c r="BF41" s="224" t="s">
        <v>4789</v>
      </c>
      <c r="BG41" s="224" t="s">
        <v>4790</v>
      </c>
      <c r="BH41" s="224" t="s">
        <v>4791</v>
      </c>
      <c r="BI41" s="224" t="s">
        <v>4792</v>
      </c>
      <c r="BJ41" s="224" t="s">
        <v>4793</v>
      </c>
      <c r="BK41" s="224" t="s">
        <v>4794</v>
      </c>
      <c r="BL41" s="224" t="s">
        <v>4795</v>
      </c>
      <c r="BM41" s="224" t="s">
        <v>4796</v>
      </c>
      <c r="BN41" s="224" t="s">
        <v>4797</v>
      </c>
      <c r="BO41" s="224" t="s">
        <v>4798</v>
      </c>
      <c r="BP41" s="224" t="s">
        <v>4799</v>
      </c>
      <c r="BQ41" s="224" t="s">
        <v>4800</v>
      </c>
      <c r="BR41" s="224" t="s">
        <v>4801</v>
      </c>
      <c r="BS41" s="224" t="s">
        <v>4802</v>
      </c>
      <c r="BT41" s="224" t="s">
        <v>4803</v>
      </c>
      <c r="BU41" s="224" t="s">
        <v>4804</v>
      </c>
      <c r="BV41" s="224" t="s">
        <v>4805</v>
      </c>
      <c r="BW41" s="224" t="s">
        <v>4806</v>
      </c>
      <c r="BX41" s="224" t="s">
        <v>4807</v>
      </c>
      <c r="BY41" s="224" t="s">
        <v>4808</v>
      </c>
      <c r="BZ41" s="224" t="s">
        <v>4809</v>
      </c>
      <c r="CA41" s="224" t="s">
        <v>4810</v>
      </c>
      <c r="CB41" s="224" t="s">
        <v>4811</v>
      </c>
      <c r="CC41" s="224" t="s">
        <v>4812</v>
      </c>
      <c r="CD41" s="224" t="s">
        <v>4813</v>
      </c>
      <c r="CE41" s="224" t="s">
        <v>4814</v>
      </c>
      <c r="CF41" s="224" t="s">
        <v>4815</v>
      </c>
      <c r="CG41" s="224" t="s">
        <v>4816</v>
      </c>
      <c r="CH41" s="224" t="s">
        <v>4817</v>
      </c>
      <c r="CI41" s="224" t="s">
        <v>4818</v>
      </c>
      <c r="CJ41" s="224" t="s">
        <v>4819</v>
      </c>
      <c r="CK41" s="224" t="s">
        <v>4820</v>
      </c>
      <c r="CL41" s="224" t="s">
        <v>4821</v>
      </c>
      <c r="CM41" s="224" t="s">
        <v>4822</v>
      </c>
      <c r="CN41" s="224" t="s">
        <v>4823</v>
      </c>
      <c r="CO41" s="224" t="s">
        <v>4824</v>
      </c>
      <c r="CP41" s="224" t="s">
        <v>4825</v>
      </c>
      <c r="CQ41" s="224" t="s">
        <v>4826</v>
      </c>
      <c r="CR41" s="224" t="s">
        <v>4827</v>
      </c>
      <c r="CS41" s="224" t="s">
        <v>4828</v>
      </c>
      <c r="CT41" s="224" t="s">
        <v>4829</v>
      </c>
      <c r="CU41" s="224" t="s">
        <v>4830</v>
      </c>
      <c r="CV41" s="224" t="s">
        <v>4831</v>
      </c>
      <c r="CW41" s="224" t="s">
        <v>4832</v>
      </c>
      <c r="CX41" s="224" t="s">
        <v>4833</v>
      </c>
      <c r="CY41" s="224" t="s">
        <v>4834</v>
      </c>
      <c r="CZ41" s="224" t="s">
        <v>4835</v>
      </c>
      <c r="DA41" s="224" t="s">
        <v>4836</v>
      </c>
      <c r="DB41" s="224" t="s">
        <v>4837</v>
      </c>
      <c r="DC41" s="224" t="s">
        <v>4838</v>
      </c>
    </row>
    <row r="42" spans="2:107" ht="15" customHeight="1" x14ac:dyDescent="0.25">
      <c r="B42" s="515">
        <v>19</v>
      </c>
      <c r="C42" s="248" t="s">
        <v>3901</v>
      </c>
      <c r="D42" s="248"/>
      <c r="E42" s="557" t="s">
        <v>3857</v>
      </c>
      <c r="F42" s="232" t="s">
        <v>4243</v>
      </c>
      <c r="G42" s="243">
        <f>SUM(H42:DC42)</f>
        <v>0</v>
      </c>
      <c r="H42" s="241">
        <f t="shared" ref="H42:AM42" si="53">H19-H38</f>
        <v>0</v>
      </c>
      <c r="I42" s="241">
        <f t="shared" si="53"/>
        <v>0</v>
      </c>
      <c r="J42" s="241">
        <f t="shared" si="53"/>
        <v>0</v>
      </c>
      <c r="K42" s="241">
        <f t="shared" si="53"/>
        <v>0</v>
      </c>
      <c r="L42" s="241">
        <f t="shared" si="53"/>
        <v>0</v>
      </c>
      <c r="M42" s="241">
        <f t="shared" si="53"/>
        <v>0</v>
      </c>
      <c r="N42" s="241">
        <f t="shared" si="53"/>
        <v>0</v>
      </c>
      <c r="O42" s="241">
        <f t="shared" si="53"/>
        <v>0</v>
      </c>
      <c r="P42" s="241">
        <f t="shared" si="53"/>
        <v>0</v>
      </c>
      <c r="Q42" s="241">
        <f t="shared" si="53"/>
        <v>0</v>
      </c>
      <c r="R42" s="241">
        <f t="shared" si="53"/>
        <v>0</v>
      </c>
      <c r="S42" s="241">
        <f t="shared" si="53"/>
        <v>0</v>
      </c>
      <c r="T42" s="241">
        <f t="shared" si="53"/>
        <v>0</v>
      </c>
      <c r="U42" s="241">
        <f t="shared" si="53"/>
        <v>0</v>
      </c>
      <c r="V42" s="241">
        <f t="shared" si="53"/>
        <v>0</v>
      </c>
      <c r="W42" s="241">
        <f t="shared" si="53"/>
        <v>0</v>
      </c>
      <c r="X42" s="241">
        <f t="shared" si="53"/>
        <v>0</v>
      </c>
      <c r="Y42" s="241">
        <f t="shared" si="53"/>
        <v>0</v>
      </c>
      <c r="Z42" s="241">
        <f t="shared" si="53"/>
        <v>0</v>
      </c>
      <c r="AA42" s="241">
        <f t="shared" si="53"/>
        <v>0</v>
      </c>
      <c r="AB42" s="241">
        <f t="shared" si="53"/>
        <v>0</v>
      </c>
      <c r="AC42" s="241">
        <f t="shared" si="53"/>
        <v>0</v>
      </c>
      <c r="AD42" s="241">
        <f t="shared" si="53"/>
        <v>0</v>
      </c>
      <c r="AE42" s="241">
        <f t="shared" si="53"/>
        <v>0</v>
      </c>
      <c r="AF42" s="241">
        <f t="shared" si="53"/>
        <v>0</v>
      </c>
      <c r="AG42" s="241">
        <f t="shared" si="53"/>
        <v>0</v>
      </c>
      <c r="AH42" s="241">
        <f t="shared" si="53"/>
        <v>0</v>
      </c>
      <c r="AI42" s="241">
        <f t="shared" si="53"/>
        <v>0</v>
      </c>
      <c r="AJ42" s="241">
        <f t="shared" si="53"/>
        <v>0</v>
      </c>
      <c r="AK42" s="241">
        <f t="shared" si="53"/>
        <v>0</v>
      </c>
      <c r="AL42" s="241">
        <f t="shared" si="53"/>
        <v>0</v>
      </c>
      <c r="AM42" s="241">
        <f t="shared" si="53"/>
        <v>0</v>
      </c>
      <c r="AN42" s="241">
        <f t="shared" ref="AN42:BS42" si="54">AN19-AN38</f>
        <v>0</v>
      </c>
      <c r="AO42" s="241">
        <f t="shared" si="54"/>
        <v>0</v>
      </c>
      <c r="AP42" s="241">
        <f t="shared" si="54"/>
        <v>0</v>
      </c>
      <c r="AQ42" s="241">
        <f t="shared" si="54"/>
        <v>0</v>
      </c>
      <c r="AR42" s="241">
        <f t="shared" si="54"/>
        <v>0</v>
      </c>
      <c r="AS42" s="241">
        <f t="shared" si="54"/>
        <v>0</v>
      </c>
      <c r="AT42" s="241">
        <f t="shared" si="54"/>
        <v>0</v>
      </c>
      <c r="AU42" s="241">
        <f t="shared" si="54"/>
        <v>0</v>
      </c>
      <c r="AV42" s="241">
        <f t="shared" si="54"/>
        <v>0</v>
      </c>
      <c r="AW42" s="241">
        <f t="shared" si="54"/>
        <v>0</v>
      </c>
      <c r="AX42" s="241">
        <f t="shared" si="54"/>
        <v>0</v>
      </c>
      <c r="AY42" s="241">
        <f t="shared" si="54"/>
        <v>0</v>
      </c>
      <c r="AZ42" s="241">
        <f t="shared" si="54"/>
        <v>0</v>
      </c>
      <c r="BA42" s="241">
        <f t="shared" si="54"/>
        <v>0</v>
      </c>
      <c r="BB42" s="241">
        <f t="shared" si="54"/>
        <v>0</v>
      </c>
      <c r="BC42" s="241">
        <f t="shared" si="54"/>
        <v>0</v>
      </c>
      <c r="BD42" s="241">
        <f t="shared" si="54"/>
        <v>0</v>
      </c>
      <c r="BE42" s="241">
        <f t="shared" si="54"/>
        <v>0</v>
      </c>
      <c r="BF42" s="241">
        <f t="shared" si="54"/>
        <v>0</v>
      </c>
      <c r="BG42" s="241">
        <f t="shared" si="54"/>
        <v>0</v>
      </c>
      <c r="BH42" s="241">
        <f t="shared" si="54"/>
        <v>0</v>
      </c>
      <c r="BI42" s="241">
        <f t="shared" si="54"/>
        <v>0</v>
      </c>
      <c r="BJ42" s="241">
        <f t="shared" si="54"/>
        <v>0</v>
      </c>
      <c r="BK42" s="241">
        <f t="shared" si="54"/>
        <v>0</v>
      </c>
      <c r="BL42" s="241">
        <f t="shared" si="54"/>
        <v>0</v>
      </c>
      <c r="BM42" s="241">
        <f t="shared" si="54"/>
        <v>0</v>
      </c>
      <c r="BN42" s="241">
        <f t="shared" si="54"/>
        <v>0</v>
      </c>
      <c r="BO42" s="241">
        <f t="shared" si="54"/>
        <v>0</v>
      </c>
      <c r="BP42" s="241">
        <f t="shared" si="54"/>
        <v>0</v>
      </c>
      <c r="BQ42" s="241">
        <f t="shared" si="54"/>
        <v>0</v>
      </c>
      <c r="BR42" s="241">
        <f t="shared" si="54"/>
        <v>0</v>
      </c>
      <c r="BS42" s="241">
        <f t="shared" si="54"/>
        <v>0</v>
      </c>
      <c r="BT42" s="241">
        <f t="shared" ref="BT42:DC42" si="55">BT19-BT38</f>
        <v>0</v>
      </c>
      <c r="BU42" s="241">
        <f t="shared" si="55"/>
        <v>0</v>
      </c>
      <c r="BV42" s="241">
        <f t="shared" si="55"/>
        <v>0</v>
      </c>
      <c r="BW42" s="241">
        <f t="shared" si="55"/>
        <v>0</v>
      </c>
      <c r="BX42" s="241">
        <f t="shared" si="55"/>
        <v>0</v>
      </c>
      <c r="BY42" s="241">
        <f t="shared" si="55"/>
        <v>0</v>
      </c>
      <c r="BZ42" s="241">
        <f t="shared" si="55"/>
        <v>0</v>
      </c>
      <c r="CA42" s="241">
        <f t="shared" si="55"/>
        <v>0</v>
      </c>
      <c r="CB42" s="241">
        <f t="shared" si="55"/>
        <v>0</v>
      </c>
      <c r="CC42" s="241">
        <f t="shared" si="55"/>
        <v>0</v>
      </c>
      <c r="CD42" s="241">
        <f t="shared" si="55"/>
        <v>0</v>
      </c>
      <c r="CE42" s="241">
        <f t="shared" si="55"/>
        <v>0</v>
      </c>
      <c r="CF42" s="241">
        <f t="shared" si="55"/>
        <v>0</v>
      </c>
      <c r="CG42" s="241">
        <f t="shared" si="55"/>
        <v>0</v>
      </c>
      <c r="CH42" s="241">
        <f t="shared" si="55"/>
        <v>0</v>
      </c>
      <c r="CI42" s="241">
        <f t="shared" si="55"/>
        <v>0</v>
      </c>
      <c r="CJ42" s="241">
        <f t="shared" si="55"/>
        <v>0</v>
      </c>
      <c r="CK42" s="241">
        <f t="shared" si="55"/>
        <v>0</v>
      </c>
      <c r="CL42" s="241">
        <f t="shared" si="55"/>
        <v>0</v>
      </c>
      <c r="CM42" s="241">
        <f t="shared" si="55"/>
        <v>0</v>
      </c>
      <c r="CN42" s="241">
        <f t="shared" si="55"/>
        <v>0</v>
      </c>
      <c r="CO42" s="241">
        <f t="shared" si="55"/>
        <v>0</v>
      </c>
      <c r="CP42" s="241">
        <f t="shared" si="55"/>
        <v>0</v>
      </c>
      <c r="CQ42" s="241">
        <f t="shared" si="55"/>
        <v>0</v>
      </c>
      <c r="CR42" s="241">
        <f t="shared" si="55"/>
        <v>0</v>
      </c>
      <c r="CS42" s="241">
        <f t="shared" si="55"/>
        <v>0</v>
      </c>
      <c r="CT42" s="241">
        <f t="shared" si="55"/>
        <v>0</v>
      </c>
      <c r="CU42" s="241">
        <f t="shared" si="55"/>
        <v>0</v>
      </c>
      <c r="CV42" s="241">
        <f t="shared" si="55"/>
        <v>0</v>
      </c>
      <c r="CW42" s="241">
        <f t="shared" si="55"/>
        <v>0</v>
      </c>
      <c r="CX42" s="241">
        <f t="shared" si="55"/>
        <v>0</v>
      </c>
      <c r="CY42" s="241">
        <f t="shared" si="55"/>
        <v>0</v>
      </c>
      <c r="CZ42" s="241">
        <f t="shared" si="55"/>
        <v>0</v>
      </c>
      <c r="DA42" s="241">
        <f t="shared" si="55"/>
        <v>0</v>
      </c>
      <c r="DB42" s="241">
        <f t="shared" si="55"/>
        <v>0</v>
      </c>
      <c r="DC42" s="241">
        <f t="shared" si="55"/>
        <v>0</v>
      </c>
    </row>
    <row r="43" spans="2:107" ht="15" customHeight="1" x14ac:dyDescent="0.25">
      <c r="B43" s="515">
        <v>20</v>
      </c>
      <c r="C43" s="249" t="s">
        <v>4244</v>
      </c>
      <c r="D43" s="250">
        <f>'Escolha tarifa'!F17</f>
        <v>0</v>
      </c>
      <c r="E43" s="558" t="s">
        <v>3912</v>
      </c>
      <c r="F43" s="232" t="s">
        <v>4245</v>
      </c>
      <c r="G43" s="251">
        <f t="shared" ref="G43:AL43" si="56">IF(G19=0,0,G42/G19)</f>
        <v>0</v>
      </c>
      <c r="H43" s="252">
        <f t="shared" si="56"/>
        <v>0</v>
      </c>
      <c r="I43" s="252">
        <f t="shared" si="56"/>
        <v>0</v>
      </c>
      <c r="J43" s="252">
        <f t="shared" si="56"/>
        <v>0</v>
      </c>
      <c r="K43" s="252">
        <f t="shared" si="56"/>
        <v>0</v>
      </c>
      <c r="L43" s="252">
        <f t="shared" si="56"/>
        <v>0</v>
      </c>
      <c r="M43" s="252">
        <f t="shared" si="56"/>
        <v>0</v>
      </c>
      <c r="N43" s="252">
        <f t="shared" si="56"/>
        <v>0</v>
      </c>
      <c r="O43" s="252">
        <f t="shared" si="56"/>
        <v>0</v>
      </c>
      <c r="P43" s="252">
        <f t="shared" si="56"/>
        <v>0</v>
      </c>
      <c r="Q43" s="252">
        <f t="shared" si="56"/>
        <v>0</v>
      </c>
      <c r="R43" s="252">
        <f t="shared" si="56"/>
        <v>0</v>
      </c>
      <c r="S43" s="252">
        <f t="shared" si="56"/>
        <v>0</v>
      </c>
      <c r="T43" s="252">
        <f t="shared" si="56"/>
        <v>0</v>
      </c>
      <c r="U43" s="252">
        <f t="shared" si="56"/>
        <v>0</v>
      </c>
      <c r="V43" s="252">
        <f t="shared" si="56"/>
        <v>0</v>
      </c>
      <c r="W43" s="252">
        <f t="shared" si="56"/>
        <v>0</v>
      </c>
      <c r="X43" s="252">
        <f t="shared" si="56"/>
        <v>0</v>
      </c>
      <c r="Y43" s="252">
        <f t="shared" si="56"/>
        <v>0</v>
      </c>
      <c r="Z43" s="252">
        <f t="shared" si="56"/>
        <v>0</v>
      </c>
      <c r="AA43" s="252">
        <f t="shared" si="56"/>
        <v>0</v>
      </c>
      <c r="AB43" s="252">
        <f t="shared" si="56"/>
        <v>0</v>
      </c>
      <c r="AC43" s="252">
        <f t="shared" si="56"/>
        <v>0</v>
      </c>
      <c r="AD43" s="252">
        <f t="shared" si="56"/>
        <v>0</v>
      </c>
      <c r="AE43" s="252">
        <f t="shared" si="56"/>
        <v>0</v>
      </c>
      <c r="AF43" s="252">
        <f t="shared" si="56"/>
        <v>0</v>
      </c>
      <c r="AG43" s="252">
        <f t="shared" si="56"/>
        <v>0</v>
      </c>
      <c r="AH43" s="252">
        <f t="shared" si="56"/>
        <v>0</v>
      </c>
      <c r="AI43" s="252">
        <f t="shared" si="56"/>
        <v>0</v>
      </c>
      <c r="AJ43" s="252">
        <f t="shared" si="56"/>
        <v>0</v>
      </c>
      <c r="AK43" s="252">
        <f t="shared" si="56"/>
        <v>0</v>
      </c>
      <c r="AL43" s="252">
        <f t="shared" si="56"/>
        <v>0</v>
      </c>
      <c r="AM43" s="252">
        <f t="shared" ref="AM43:BR43" si="57">IF(AM19=0,0,AM42/AM19)</f>
        <v>0</v>
      </c>
      <c r="AN43" s="252">
        <f t="shared" si="57"/>
        <v>0</v>
      </c>
      <c r="AO43" s="252">
        <f t="shared" si="57"/>
        <v>0</v>
      </c>
      <c r="AP43" s="252">
        <f t="shared" si="57"/>
        <v>0</v>
      </c>
      <c r="AQ43" s="252">
        <f t="shared" si="57"/>
        <v>0</v>
      </c>
      <c r="AR43" s="252">
        <f t="shared" si="57"/>
        <v>0</v>
      </c>
      <c r="AS43" s="252">
        <f t="shared" si="57"/>
        <v>0</v>
      </c>
      <c r="AT43" s="252">
        <f t="shared" si="57"/>
        <v>0</v>
      </c>
      <c r="AU43" s="252">
        <f t="shared" si="57"/>
        <v>0</v>
      </c>
      <c r="AV43" s="252">
        <f t="shared" si="57"/>
        <v>0</v>
      </c>
      <c r="AW43" s="252">
        <f t="shared" si="57"/>
        <v>0</v>
      </c>
      <c r="AX43" s="252">
        <f t="shared" si="57"/>
        <v>0</v>
      </c>
      <c r="AY43" s="252">
        <f t="shared" si="57"/>
        <v>0</v>
      </c>
      <c r="AZ43" s="252">
        <f t="shared" si="57"/>
        <v>0</v>
      </c>
      <c r="BA43" s="252">
        <f t="shared" si="57"/>
        <v>0</v>
      </c>
      <c r="BB43" s="252">
        <f t="shared" si="57"/>
        <v>0</v>
      </c>
      <c r="BC43" s="252">
        <f t="shared" si="57"/>
        <v>0</v>
      </c>
      <c r="BD43" s="252">
        <f t="shared" si="57"/>
        <v>0</v>
      </c>
      <c r="BE43" s="252">
        <f t="shared" si="57"/>
        <v>0</v>
      </c>
      <c r="BF43" s="252">
        <f t="shared" si="57"/>
        <v>0</v>
      </c>
      <c r="BG43" s="252">
        <f t="shared" si="57"/>
        <v>0</v>
      </c>
      <c r="BH43" s="252">
        <f t="shared" si="57"/>
        <v>0</v>
      </c>
      <c r="BI43" s="252">
        <f t="shared" si="57"/>
        <v>0</v>
      </c>
      <c r="BJ43" s="252">
        <f t="shared" si="57"/>
        <v>0</v>
      </c>
      <c r="BK43" s="252">
        <f t="shared" si="57"/>
        <v>0</v>
      </c>
      <c r="BL43" s="252">
        <f t="shared" si="57"/>
        <v>0</v>
      </c>
      <c r="BM43" s="252">
        <f t="shared" si="57"/>
        <v>0</v>
      </c>
      <c r="BN43" s="252">
        <f t="shared" si="57"/>
        <v>0</v>
      </c>
      <c r="BO43" s="252">
        <f t="shared" si="57"/>
        <v>0</v>
      </c>
      <c r="BP43" s="252">
        <f t="shared" si="57"/>
        <v>0</v>
      </c>
      <c r="BQ43" s="252">
        <f t="shared" si="57"/>
        <v>0</v>
      </c>
      <c r="BR43" s="252">
        <f t="shared" si="57"/>
        <v>0</v>
      </c>
      <c r="BS43" s="252">
        <f t="shared" ref="BS43:CX43" si="58">IF(BS19=0,0,BS42/BS19)</f>
        <v>0</v>
      </c>
      <c r="BT43" s="252">
        <f t="shared" si="58"/>
        <v>0</v>
      </c>
      <c r="BU43" s="252">
        <f t="shared" si="58"/>
        <v>0</v>
      </c>
      <c r="BV43" s="252">
        <f t="shared" si="58"/>
        <v>0</v>
      </c>
      <c r="BW43" s="252">
        <f t="shared" si="58"/>
        <v>0</v>
      </c>
      <c r="BX43" s="252">
        <f t="shared" si="58"/>
        <v>0</v>
      </c>
      <c r="BY43" s="252">
        <f t="shared" si="58"/>
        <v>0</v>
      </c>
      <c r="BZ43" s="252">
        <f t="shared" si="58"/>
        <v>0</v>
      </c>
      <c r="CA43" s="252">
        <f t="shared" si="58"/>
        <v>0</v>
      </c>
      <c r="CB43" s="252">
        <f t="shared" si="58"/>
        <v>0</v>
      </c>
      <c r="CC43" s="252">
        <f t="shared" si="58"/>
        <v>0</v>
      </c>
      <c r="CD43" s="252">
        <f t="shared" si="58"/>
        <v>0</v>
      </c>
      <c r="CE43" s="252">
        <f t="shared" si="58"/>
        <v>0</v>
      </c>
      <c r="CF43" s="252">
        <f t="shared" si="58"/>
        <v>0</v>
      </c>
      <c r="CG43" s="252">
        <f t="shared" si="58"/>
        <v>0</v>
      </c>
      <c r="CH43" s="252">
        <f t="shared" si="58"/>
        <v>0</v>
      </c>
      <c r="CI43" s="252">
        <f t="shared" si="58"/>
        <v>0</v>
      </c>
      <c r="CJ43" s="252">
        <f t="shared" si="58"/>
        <v>0</v>
      </c>
      <c r="CK43" s="252">
        <f t="shared" si="58"/>
        <v>0</v>
      </c>
      <c r="CL43" s="252">
        <f t="shared" si="58"/>
        <v>0</v>
      </c>
      <c r="CM43" s="252">
        <f t="shared" si="58"/>
        <v>0</v>
      </c>
      <c r="CN43" s="252">
        <f t="shared" si="58"/>
        <v>0</v>
      </c>
      <c r="CO43" s="252">
        <f t="shared" si="58"/>
        <v>0</v>
      </c>
      <c r="CP43" s="252">
        <f t="shared" si="58"/>
        <v>0</v>
      </c>
      <c r="CQ43" s="252">
        <f t="shared" si="58"/>
        <v>0</v>
      </c>
      <c r="CR43" s="252">
        <f t="shared" si="58"/>
        <v>0</v>
      </c>
      <c r="CS43" s="252">
        <f t="shared" si="58"/>
        <v>0</v>
      </c>
      <c r="CT43" s="252">
        <f t="shared" si="58"/>
        <v>0</v>
      </c>
      <c r="CU43" s="252">
        <f t="shared" si="58"/>
        <v>0</v>
      </c>
      <c r="CV43" s="252">
        <f t="shared" si="58"/>
        <v>0</v>
      </c>
      <c r="CW43" s="252">
        <f t="shared" si="58"/>
        <v>0</v>
      </c>
      <c r="CX43" s="252">
        <f t="shared" si="58"/>
        <v>0</v>
      </c>
      <c r="CY43" s="252">
        <f>IF(CY19=0,0,CY42/CY19)</f>
        <v>0</v>
      </c>
      <c r="CZ43" s="252">
        <f>IF(CZ19=0,0,CZ42/CZ19)</f>
        <v>0</v>
      </c>
      <c r="DA43" s="252">
        <f>IF(DA19=0,0,DA42/DA19)</f>
        <v>0</v>
      </c>
      <c r="DB43" s="252">
        <f>IF(DB19=0,0,DB42/DB19)</f>
        <v>0</v>
      </c>
      <c r="DC43" s="252">
        <f>IF(DC19=0,0,DC42/DC19)</f>
        <v>0</v>
      </c>
    </row>
    <row r="44" spans="2:107" ht="15" customHeight="1" x14ac:dyDescent="0.25">
      <c r="B44" s="515">
        <v>21</v>
      </c>
      <c r="C44" s="248" t="s">
        <v>3900</v>
      </c>
      <c r="D44" s="248"/>
      <c r="E44" s="557" t="s">
        <v>3854</v>
      </c>
      <c r="F44" s="232" t="s">
        <v>4246</v>
      </c>
      <c r="G44" s="243">
        <f>SUM(H44:DC44)</f>
        <v>0</v>
      </c>
      <c r="H44" s="241">
        <f t="shared" ref="H44:AM44" si="59">H18-H37</f>
        <v>0</v>
      </c>
      <c r="I44" s="241">
        <f t="shared" si="59"/>
        <v>0</v>
      </c>
      <c r="J44" s="241">
        <f t="shared" si="59"/>
        <v>0</v>
      </c>
      <c r="K44" s="241">
        <f t="shared" si="59"/>
        <v>0</v>
      </c>
      <c r="L44" s="241">
        <f t="shared" si="59"/>
        <v>0</v>
      </c>
      <c r="M44" s="241">
        <f t="shared" si="59"/>
        <v>0</v>
      </c>
      <c r="N44" s="241">
        <f t="shared" si="59"/>
        <v>0</v>
      </c>
      <c r="O44" s="241">
        <f t="shared" si="59"/>
        <v>0</v>
      </c>
      <c r="P44" s="241">
        <f t="shared" si="59"/>
        <v>0</v>
      </c>
      <c r="Q44" s="241">
        <f t="shared" si="59"/>
        <v>0</v>
      </c>
      <c r="R44" s="241">
        <f t="shared" si="59"/>
        <v>0</v>
      </c>
      <c r="S44" s="241">
        <f t="shared" si="59"/>
        <v>0</v>
      </c>
      <c r="T44" s="241">
        <f t="shared" si="59"/>
        <v>0</v>
      </c>
      <c r="U44" s="241">
        <f t="shared" si="59"/>
        <v>0</v>
      </c>
      <c r="V44" s="241">
        <f t="shared" si="59"/>
        <v>0</v>
      </c>
      <c r="W44" s="241">
        <f t="shared" si="59"/>
        <v>0</v>
      </c>
      <c r="X44" s="241">
        <f t="shared" si="59"/>
        <v>0</v>
      </c>
      <c r="Y44" s="241">
        <f t="shared" si="59"/>
        <v>0</v>
      </c>
      <c r="Z44" s="241">
        <f t="shared" si="59"/>
        <v>0</v>
      </c>
      <c r="AA44" s="241">
        <f t="shared" si="59"/>
        <v>0</v>
      </c>
      <c r="AB44" s="241">
        <f t="shared" si="59"/>
        <v>0</v>
      </c>
      <c r="AC44" s="241">
        <f t="shared" si="59"/>
        <v>0</v>
      </c>
      <c r="AD44" s="241">
        <f t="shared" si="59"/>
        <v>0</v>
      </c>
      <c r="AE44" s="241">
        <f t="shared" si="59"/>
        <v>0</v>
      </c>
      <c r="AF44" s="241">
        <f t="shared" si="59"/>
        <v>0</v>
      </c>
      <c r="AG44" s="241">
        <f t="shared" si="59"/>
        <v>0</v>
      </c>
      <c r="AH44" s="241">
        <f t="shared" si="59"/>
        <v>0</v>
      </c>
      <c r="AI44" s="241">
        <f t="shared" si="59"/>
        <v>0</v>
      </c>
      <c r="AJ44" s="241">
        <f t="shared" si="59"/>
        <v>0</v>
      </c>
      <c r="AK44" s="241">
        <f t="shared" si="59"/>
        <v>0</v>
      </c>
      <c r="AL44" s="241">
        <f t="shared" si="59"/>
        <v>0</v>
      </c>
      <c r="AM44" s="241">
        <f t="shared" si="59"/>
        <v>0</v>
      </c>
      <c r="AN44" s="241">
        <f t="shared" ref="AN44:BS44" si="60">AN18-AN37</f>
        <v>0</v>
      </c>
      <c r="AO44" s="241">
        <f t="shared" si="60"/>
        <v>0</v>
      </c>
      <c r="AP44" s="241">
        <f t="shared" si="60"/>
        <v>0</v>
      </c>
      <c r="AQ44" s="241">
        <f t="shared" si="60"/>
        <v>0</v>
      </c>
      <c r="AR44" s="241">
        <f t="shared" si="60"/>
        <v>0</v>
      </c>
      <c r="AS44" s="241">
        <f t="shared" si="60"/>
        <v>0</v>
      </c>
      <c r="AT44" s="241">
        <f t="shared" si="60"/>
        <v>0</v>
      </c>
      <c r="AU44" s="241">
        <f t="shared" si="60"/>
        <v>0</v>
      </c>
      <c r="AV44" s="241">
        <f t="shared" si="60"/>
        <v>0</v>
      </c>
      <c r="AW44" s="241">
        <f t="shared" si="60"/>
        <v>0</v>
      </c>
      <c r="AX44" s="241">
        <f t="shared" si="60"/>
        <v>0</v>
      </c>
      <c r="AY44" s="241">
        <f t="shared" si="60"/>
        <v>0</v>
      </c>
      <c r="AZ44" s="241">
        <f t="shared" si="60"/>
        <v>0</v>
      </c>
      <c r="BA44" s="241">
        <f t="shared" si="60"/>
        <v>0</v>
      </c>
      <c r="BB44" s="241">
        <f t="shared" si="60"/>
        <v>0</v>
      </c>
      <c r="BC44" s="241">
        <f t="shared" si="60"/>
        <v>0</v>
      </c>
      <c r="BD44" s="241">
        <f t="shared" si="60"/>
        <v>0</v>
      </c>
      <c r="BE44" s="241">
        <f t="shared" si="60"/>
        <v>0</v>
      </c>
      <c r="BF44" s="241">
        <f t="shared" si="60"/>
        <v>0</v>
      </c>
      <c r="BG44" s="241">
        <f t="shared" si="60"/>
        <v>0</v>
      </c>
      <c r="BH44" s="241">
        <f t="shared" si="60"/>
        <v>0</v>
      </c>
      <c r="BI44" s="241">
        <f t="shared" si="60"/>
        <v>0</v>
      </c>
      <c r="BJ44" s="241">
        <f t="shared" si="60"/>
        <v>0</v>
      </c>
      <c r="BK44" s="241">
        <f t="shared" si="60"/>
        <v>0</v>
      </c>
      <c r="BL44" s="241">
        <f t="shared" si="60"/>
        <v>0</v>
      </c>
      <c r="BM44" s="241">
        <f t="shared" si="60"/>
        <v>0</v>
      </c>
      <c r="BN44" s="241">
        <f t="shared" si="60"/>
        <v>0</v>
      </c>
      <c r="BO44" s="241">
        <f t="shared" si="60"/>
        <v>0</v>
      </c>
      <c r="BP44" s="241">
        <f t="shared" si="60"/>
        <v>0</v>
      </c>
      <c r="BQ44" s="241">
        <f t="shared" si="60"/>
        <v>0</v>
      </c>
      <c r="BR44" s="241">
        <f t="shared" si="60"/>
        <v>0</v>
      </c>
      <c r="BS44" s="241">
        <f t="shared" si="60"/>
        <v>0</v>
      </c>
      <c r="BT44" s="241">
        <f t="shared" ref="BT44:DC44" si="61">BT18-BT37</f>
        <v>0</v>
      </c>
      <c r="BU44" s="241">
        <f t="shared" si="61"/>
        <v>0</v>
      </c>
      <c r="BV44" s="241">
        <f t="shared" si="61"/>
        <v>0</v>
      </c>
      <c r="BW44" s="241">
        <f t="shared" si="61"/>
        <v>0</v>
      </c>
      <c r="BX44" s="241">
        <f t="shared" si="61"/>
        <v>0</v>
      </c>
      <c r="BY44" s="241">
        <f t="shared" si="61"/>
        <v>0</v>
      </c>
      <c r="BZ44" s="241">
        <f t="shared" si="61"/>
        <v>0</v>
      </c>
      <c r="CA44" s="241">
        <f t="shared" si="61"/>
        <v>0</v>
      </c>
      <c r="CB44" s="241">
        <f t="shared" si="61"/>
        <v>0</v>
      </c>
      <c r="CC44" s="241">
        <f t="shared" si="61"/>
        <v>0</v>
      </c>
      <c r="CD44" s="241">
        <f t="shared" si="61"/>
        <v>0</v>
      </c>
      <c r="CE44" s="241">
        <f t="shared" si="61"/>
        <v>0</v>
      </c>
      <c r="CF44" s="241">
        <f t="shared" si="61"/>
        <v>0</v>
      </c>
      <c r="CG44" s="241">
        <f t="shared" si="61"/>
        <v>0</v>
      </c>
      <c r="CH44" s="241">
        <f t="shared" si="61"/>
        <v>0</v>
      </c>
      <c r="CI44" s="241">
        <f t="shared" si="61"/>
        <v>0</v>
      </c>
      <c r="CJ44" s="241">
        <f t="shared" si="61"/>
        <v>0</v>
      </c>
      <c r="CK44" s="241">
        <f t="shared" si="61"/>
        <v>0</v>
      </c>
      <c r="CL44" s="241">
        <f t="shared" si="61"/>
        <v>0</v>
      </c>
      <c r="CM44" s="241">
        <f t="shared" si="61"/>
        <v>0</v>
      </c>
      <c r="CN44" s="241">
        <f t="shared" si="61"/>
        <v>0</v>
      </c>
      <c r="CO44" s="241">
        <f t="shared" si="61"/>
        <v>0</v>
      </c>
      <c r="CP44" s="241">
        <f t="shared" si="61"/>
        <v>0</v>
      </c>
      <c r="CQ44" s="241">
        <f t="shared" si="61"/>
        <v>0</v>
      </c>
      <c r="CR44" s="241">
        <f t="shared" si="61"/>
        <v>0</v>
      </c>
      <c r="CS44" s="241">
        <f t="shared" si="61"/>
        <v>0</v>
      </c>
      <c r="CT44" s="241">
        <f t="shared" si="61"/>
        <v>0</v>
      </c>
      <c r="CU44" s="241">
        <f t="shared" si="61"/>
        <v>0</v>
      </c>
      <c r="CV44" s="241">
        <f t="shared" si="61"/>
        <v>0</v>
      </c>
      <c r="CW44" s="241">
        <f t="shared" si="61"/>
        <v>0</v>
      </c>
      <c r="CX44" s="241">
        <f t="shared" si="61"/>
        <v>0</v>
      </c>
      <c r="CY44" s="241">
        <f t="shared" si="61"/>
        <v>0</v>
      </c>
      <c r="CZ44" s="241">
        <f t="shared" si="61"/>
        <v>0</v>
      </c>
      <c r="DA44" s="241">
        <f t="shared" si="61"/>
        <v>0</v>
      </c>
      <c r="DB44" s="241">
        <f t="shared" si="61"/>
        <v>0</v>
      </c>
      <c r="DC44" s="241">
        <f t="shared" si="61"/>
        <v>0</v>
      </c>
    </row>
    <row r="45" spans="2:107" ht="15" customHeight="1" x14ac:dyDescent="0.25">
      <c r="B45" s="515">
        <v>22</v>
      </c>
      <c r="C45" s="249" t="s">
        <v>4247</v>
      </c>
      <c r="D45" s="250">
        <f>'Escolha tarifa'!E17</f>
        <v>0</v>
      </c>
      <c r="E45" s="558" t="s">
        <v>3912</v>
      </c>
      <c r="F45" s="232" t="s">
        <v>4248</v>
      </c>
      <c r="G45" s="251">
        <f t="shared" ref="G45:AL45" si="62">IF(G18=0,0,G44/G18)</f>
        <v>0</v>
      </c>
      <c r="H45" s="252">
        <f t="shared" si="62"/>
        <v>0</v>
      </c>
      <c r="I45" s="252">
        <f t="shared" si="62"/>
        <v>0</v>
      </c>
      <c r="J45" s="252">
        <f t="shared" si="62"/>
        <v>0</v>
      </c>
      <c r="K45" s="252">
        <f t="shared" si="62"/>
        <v>0</v>
      </c>
      <c r="L45" s="252">
        <f t="shared" si="62"/>
        <v>0</v>
      </c>
      <c r="M45" s="252">
        <f t="shared" si="62"/>
        <v>0</v>
      </c>
      <c r="N45" s="252">
        <f t="shared" si="62"/>
        <v>0</v>
      </c>
      <c r="O45" s="252">
        <f t="shared" si="62"/>
        <v>0</v>
      </c>
      <c r="P45" s="252">
        <f t="shared" si="62"/>
        <v>0</v>
      </c>
      <c r="Q45" s="252">
        <f t="shared" si="62"/>
        <v>0</v>
      </c>
      <c r="R45" s="252">
        <f t="shared" si="62"/>
        <v>0</v>
      </c>
      <c r="S45" s="252">
        <f t="shared" si="62"/>
        <v>0</v>
      </c>
      <c r="T45" s="252">
        <f t="shared" si="62"/>
        <v>0</v>
      </c>
      <c r="U45" s="252">
        <f t="shared" si="62"/>
        <v>0</v>
      </c>
      <c r="V45" s="252">
        <f t="shared" si="62"/>
        <v>0</v>
      </c>
      <c r="W45" s="252">
        <f t="shared" si="62"/>
        <v>0</v>
      </c>
      <c r="X45" s="252">
        <f t="shared" si="62"/>
        <v>0</v>
      </c>
      <c r="Y45" s="252">
        <f t="shared" si="62"/>
        <v>0</v>
      </c>
      <c r="Z45" s="252">
        <f t="shared" si="62"/>
        <v>0</v>
      </c>
      <c r="AA45" s="252">
        <f t="shared" si="62"/>
        <v>0</v>
      </c>
      <c r="AB45" s="252">
        <f t="shared" si="62"/>
        <v>0</v>
      </c>
      <c r="AC45" s="252">
        <f t="shared" si="62"/>
        <v>0</v>
      </c>
      <c r="AD45" s="252">
        <f t="shared" si="62"/>
        <v>0</v>
      </c>
      <c r="AE45" s="252">
        <f t="shared" si="62"/>
        <v>0</v>
      </c>
      <c r="AF45" s="252">
        <f t="shared" si="62"/>
        <v>0</v>
      </c>
      <c r="AG45" s="252">
        <f t="shared" si="62"/>
        <v>0</v>
      </c>
      <c r="AH45" s="252">
        <f t="shared" si="62"/>
        <v>0</v>
      </c>
      <c r="AI45" s="252">
        <f t="shared" si="62"/>
        <v>0</v>
      </c>
      <c r="AJ45" s="252">
        <f t="shared" si="62"/>
        <v>0</v>
      </c>
      <c r="AK45" s="252">
        <f t="shared" si="62"/>
        <v>0</v>
      </c>
      <c r="AL45" s="252">
        <f t="shared" si="62"/>
        <v>0</v>
      </c>
      <c r="AM45" s="252">
        <f t="shared" ref="AM45:BR45" si="63">IF(AM18=0,0,AM44/AM18)</f>
        <v>0</v>
      </c>
      <c r="AN45" s="252">
        <f t="shared" si="63"/>
        <v>0</v>
      </c>
      <c r="AO45" s="252">
        <f t="shared" si="63"/>
        <v>0</v>
      </c>
      <c r="AP45" s="252">
        <f t="shared" si="63"/>
        <v>0</v>
      </c>
      <c r="AQ45" s="252">
        <f t="shared" si="63"/>
        <v>0</v>
      </c>
      <c r="AR45" s="252">
        <f t="shared" si="63"/>
        <v>0</v>
      </c>
      <c r="AS45" s="252">
        <f t="shared" si="63"/>
        <v>0</v>
      </c>
      <c r="AT45" s="252">
        <f t="shared" si="63"/>
        <v>0</v>
      </c>
      <c r="AU45" s="252">
        <f t="shared" si="63"/>
        <v>0</v>
      </c>
      <c r="AV45" s="252">
        <f t="shared" si="63"/>
        <v>0</v>
      </c>
      <c r="AW45" s="252">
        <f t="shared" si="63"/>
        <v>0</v>
      </c>
      <c r="AX45" s="252">
        <f t="shared" si="63"/>
        <v>0</v>
      </c>
      <c r="AY45" s="252">
        <f t="shared" si="63"/>
        <v>0</v>
      </c>
      <c r="AZ45" s="252">
        <f t="shared" si="63"/>
        <v>0</v>
      </c>
      <c r="BA45" s="252">
        <f t="shared" si="63"/>
        <v>0</v>
      </c>
      <c r="BB45" s="252">
        <f t="shared" si="63"/>
        <v>0</v>
      </c>
      <c r="BC45" s="252">
        <f t="shared" si="63"/>
        <v>0</v>
      </c>
      <c r="BD45" s="252">
        <f t="shared" si="63"/>
        <v>0</v>
      </c>
      <c r="BE45" s="252">
        <f t="shared" si="63"/>
        <v>0</v>
      </c>
      <c r="BF45" s="252">
        <f t="shared" si="63"/>
        <v>0</v>
      </c>
      <c r="BG45" s="252">
        <f t="shared" si="63"/>
        <v>0</v>
      </c>
      <c r="BH45" s="252">
        <f t="shared" si="63"/>
        <v>0</v>
      </c>
      <c r="BI45" s="252">
        <f t="shared" si="63"/>
        <v>0</v>
      </c>
      <c r="BJ45" s="252">
        <f t="shared" si="63"/>
        <v>0</v>
      </c>
      <c r="BK45" s="252">
        <f t="shared" si="63"/>
        <v>0</v>
      </c>
      <c r="BL45" s="252">
        <f t="shared" si="63"/>
        <v>0</v>
      </c>
      <c r="BM45" s="252">
        <f t="shared" si="63"/>
        <v>0</v>
      </c>
      <c r="BN45" s="252">
        <f t="shared" si="63"/>
        <v>0</v>
      </c>
      <c r="BO45" s="252">
        <f t="shared" si="63"/>
        <v>0</v>
      </c>
      <c r="BP45" s="252">
        <f t="shared" si="63"/>
        <v>0</v>
      </c>
      <c r="BQ45" s="252">
        <f t="shared" si="63"/>
        <v>0</v>
      </c>
      <c r="BR45" s="252">
        <f t="shared" si="63"/>
        <v>0</v>
      </c>
      <c r="BS45" s="252">
        <f t="shared" ref="BS45:CX45" si="64">IF(BS18=0,0,BS44/BS18)</f>
        <v>0</v>
      </c>
      <c r="BT45" s="252">
        <f t="shared" si="64"/>
        <v>0</v>
      </c>
      <c r="BU45" s="252">
        <f t="shared" si="64"/>
        <v>0</v>
      </c>
      <c r="BV45" s="252">
        <f t="shared" si="64"/>
        <v>0</v>
      </c>
      <c r="BW45" s="252">
        <f t="shared" si="64"/>
        <v>0</v>
      </c>
      <c r="BX45" s="252">
        <f t="shared" si="64"/>
        <v>0</v>
      </c>
      <c r="BY45" s="252">
        <f t="shared" si="64"/>
        <v>0</v>
      </c>
      <c r="BZ45" s="252">
        <f t="shared" si="64"/>
        <v>0</v>
      </c>
      <c r="CA45" s="252">
        <f t="shared" si="64"/>
        <v>0</v>
      </c>
      <c r="CB45" s="252">
        <f t="shared" si="64"/>
        <v>0</v>
      </c>
      <c r="CC45" s="252">
        <f t="shared" si="64"/>
        <v>0</v>
      </c>
      <c r="CD45" s="252">
        <f t="shared" si="64"/>
        <v>0</v>
      </c>
      <c r="CE45" s="252">
        <f t="shared" si="64"/>
        <v>0</v>
      </c>
      <c r="CF45" s="252">
        <f t="shared" si="64"/>
        <v>0</v>
      </c>
      <c r="CG45" s="252">
        <f t="shared" si="64"/>
        <v>0</v>
      </c>
      <c r="CH45" s="252">
        <f t="shared" si="64"/>
        <v>0</v>
      </c>
      <c r="CI45" s="252">
        <f t="shared" si="64"/>
        <v>0</v>
      </c>
      <c r="CJ45" s="252">
        <f t="shared" si="64"/>
        <v>0</v>
      </c>
      <c r="CK45" s="252">
        <f t="shared" si="64"/>
        <v>0</v>
      </c>
      <c r="CL45" s="252">
        <f t="shared" si="64"/>
        <v>0</v>
      </c>
      <c r="CM45" s="252">
        <f t="shared" si="64"/>
        <v>0</v>
      </c>
      <c r="CN45" s="252">
        <f t="shared" si="64"/>
        <v>0</v>
      </c>
      <c r="CO45" s="252">
        <f t="shared" si="64"/>
        <v>0</v>
      </c>
      <c r="CP45" s="252">
        <f t="shared" si="64"/>
        <v>0</v>
      </c>
      <c r="CQ45" s="252">
        <f t="shared" si="64"/>
        <v>0</v>
      </c>
      <c r="CR45" s="252">
        <f t="shared" si="64"/>
        <v>0</v>
      </c>
      <c r="CS45" s="252">
        <f t="shared" si="64"/>
        <v>0</v>
      </c>
      <c r="CT45" s="252">
        <f t="shared" si="64"/>
        <v>0</v>
      </c>
      <c r="CU45" s="252">
        <f t="shared" si="64"/>
        <v>0</v>
      </c>
      <c r="CV45" s="252">
        <f t="shared" si="64"/>
        <v>0</v>
      </c>
      <c r="CW45" s="252">
        <f t="shared" si="64"/>
        <v>0</v>
      </c>
      <c r="CX45" s="252">
        <f t="shared" si="64"/>
        <v>0</v>
      </c>
      <c r="CY45" s="252">
        <f>IF(CY18=0,0,CY44/CY18)</f>
        <v>0</v>
      </c>
      <c r="CZ45" s="252">
        <f>IF(CZ18=0,0,CZ44/CZ18)</f>
        <v>0</v>
      </c>
      <c r="DA45" s="252">
        <f>IF(DA18=0,0,DA44/DA18)</f>
        <v>0</v>
      </c>
      <c r="DB45" s="252">
        <f>IF(DB18=0,0,DB44/DB18)</f>
        <v>0</v>
      </c>
      <c r="DC45" s="252">
        <f>IF(DC18=0,0,DC44/DC18)</f>
        <v>0</v>
      </c>
    </row>
    <row r="46" spans="2:107" ht="15" customHeight="1" x14ac:dyDescent="0.25">
      <c r="B46" s="253"/>
      <c r="C46" s="254" t="s">
        <v>4842</v>
      </c>
      <c r="D46" s="254"/>
      <c r="E46" s="542" t="s">
        <v>3911</v>
      </c>
      <c r="F46" s="255" t="s">
        <v>4843</v>
      </c>
      <c r="G46" s="256">
        <f>SUM(H46:DC46)</f>
        <v>0</v>
      </c>
      <c r="H46" s="257">
        <f t="shared" ref="H46:Z46" si="65">H42*$D$43+H44*$D$45</f>
        <v>0</v>
      </c>
      <c r="I46" s="257">
        <f t="shared" si="65"/>
        <v>0</v>
      </c>
      <c r="J46" s="257">
        <f t="shared" si="65"/>
        <v>0</v>
      </c>
      <c r="K46" s="257">
        <f t="shared" si="65"/>
        <v>0</v>
      </c>
      <c r="L46" s="257">
        <f t="shared" si="65"/>
        <v>0</v>
      </c>
      <c r="M46" s="257">
        <f t="shared" si="65"/>
        <v>0</v>
      </c>
      <c r="N46" s="257">
        <f t="shared" si="65"/>
        <v>0</v>
      </c>
      <c r="O46" s="257">
        <f t="shared" si="65"/>
        <v>0</v>
      </c>
      <c r="P46" s="257">
        <f t="shared" si="65"/>
        <v>0</v>
      </c>
      <c r="Q46" s="257">
        <f t="shared" si="65"/>
        <v>0</v>
      </c>
      <c r="R46" s="257">
        <f t="shared" si="65"/>
        <v>0</v>
      </c>
      <c r="S46" s="257">
        <f t="shared" si="65"/>
        <v>0</v>
      </c>
      <c r="T46" s="257">
        <f t="shared" si="65"/>
        <v>0</v>
      </c>
      <c r="U46" s="257">
        <f t="shared" si="65"/>
        <v>0</v>
      </c>
      <c r="V46" s="257">
        <f t="shared" si="65"/>
        <v>0</v>
      </c>
      <c r="W46" s="257">
        <f t="shared" si="65"/>
        <v>0</v>
      </c>
      <c r="X46" s="257">
        <f t="shared" si="65"/>
        <v>0</v>
      </c>
      <c r="Y46" s="257">
        <f t="shared" si="65"/>
        <v>0</v>
      </c>
      <c r="Z46" s="257">
        <f t="shared" si="65"/>
        <v>0</v>
      </c>
      <c r="AA46" s="257">
        <f t="shared" ref="AA46:CL46" si="66">AA42*$D$43+AA44*$D$45</f>
        <v>0</v>
      </c>
      <c r="AB46" s="257">
        <f t="shared" si="66"/>
        <v>0</v>
      </c>
      <c r="AC46" s="257">
        <f t="shared" si="66"/>
        <v>0</v>
      </c>
      <c r="AD46" s="257">
        <f t="shared" si="66"/>
        <v>0</v>
      </c>
      <c r="AE46" s="257">
        <f t="shared" si="66"/>
        <v>0</v>
      </c>
      <c r="AF46" s="257">
        <f t="shared" si="66"/>
        <v>0</v>
      </c>
      <c r="AG46" s="257">
        <f t="shared" si="66"/>
        <v>0</v>
      </c>
      <c r="AH46" s="257">
        <f t="shared" si="66"/>
        <v>0</v>
      </c>
      <c r="AI46" s="257">
        <f t="shared" si="66"/>
        <v>0</v>
      </c>
      <c r="AJ46" s="257">
        <f t="shared" si="66"/>
        <v>0</v>
      </c>
      <c r="AK46" s="257">
        <f t="shared" si="66"/>
        <v>0</v>
      </c>
      <c r="AL46" s="257">
        <f t="shared" si="66"/>
        <v>0</v>
      </c>
      <c r="AM46" s="257">
        <f t="shared" si="66"/>
        <v>0</v>
      </c>
      <c r="AN46" s="257">
        <f t="shared" si="66"/>
        <v>0</v>
      </c>
      <c r="AO46" s="257">
        <f t="shared" si="66"/>
        <v>0</v>
      </c>
      <c r="AP46" s="257">
        <f t="shared" si="66"/>
        <v>0</v>
      </c>
      <c r="AQ46" s="257">
        <f t="shared" si="66"/>
        <v>0</v>
      </c>
      <c r="AR46" s="257">
        <f t="shared" si="66"/>
        <v>0</v>
      </c>
      <c r="AS46" s="257">
        <f t="shared" si="66"/>
        <v>0</v>
      </c>
      <c r="AT46" s="257">
        <f t="shared" si="66"/>
        <v>0</v>
      </c>
      <c r="AU46" s="257">
        <f t="shared" si="66"/>
        <v>0</v>
      </c>
      <c r="AV46" s="257">
        <f t="shared" si="66"/>
        <v>0</v>
      </c>
      <c r="AW46" s="257">
        <f t="shared" si="66"/>
        <v>0</v>
      </c>
      <c r="AX46" s="257">
        <f t="shared" si="66"/>
        <v>0</v>
      </c>
      <c r="AY46" s="257">
        <f t="shared" si="66"/>
        <v>0</v>
      </c>
      <c r="AZ46" s="257">
        <f t="shared" si="66"/>
        <v>0</v>
      </c>
      <c r="BA46" s="257">
        <f t="shared" si="66"/>
        <v>0</v>
      </c>
      <c r="BB46" s="257">
        <f t="shared" si="66"/>
        <v>0</v>
      </c>
      <c r="BC46" s="257">
        <f t="shared" si="66"/>
        <v>0</v>
      </c>
      <c r="BD46" s="257">
        <f t="shared" si="66"/>
        <v>0</v>
      </c>
      <c r="BE46" s="257">
        <f t="shared" si="66"/>
        <v>0</v>
      </c>
      <c r="BF46" s="257">
        <f t="shared" si="66"/>
        <v>0</v>
      </c>
      <c r="BG46" s="257">
        <f t="shared" si="66"/>
        <v>0</v>
      </c>
      <c r="BH46" s="257">
        <f t="shared" si="66"/>
        <v>0</v>
      </c>
      <c r="BI46" s="257">
        <f t="shared" si="66"/>
        <v>0</v>
      </c>
      <c r="BJ46" s="257">
        <f t="shared" si="66"/>
        <v>0</v>
      </c>
      <c r="BK46" s="257">
        <f t="shared" si="66"/>
        <v>0</v>
      </c>
      <c r="BL46" s="257">
        <f t="shared" si="66"/>
        <v>0</v>
      </c>
      <c r="BM46" s="257">
        <f t="shared" si="66"/>
        <v>0</v>
      </c>
      <c r="BN46" s="257">
        <f t="shared" si="66"/>
        <v>0</v>
      </c>
      <c r="BO46" s="257">
        <f t="shared" si="66"/>
        <v>0</v>
      </c>
      <c r="BP46" s="257">
        <f t="shared" si="66"/>
        <v>0</v>
      </c>
      <c r="BQ46" s="257">
        <f t="shared" si="66"/>
        <v>0</v>
      </c>
      <c r="BR46" s="257">
        <f t="shared" si="66"/>
        <v>0</v>
      </c>
      <c r="BS46" s="257">
        <f t="shared" si="66"/>
        <v>0</v>
      </c>
      <c r="BT46" s="257">
        <f t="shared" si="66"/>
        <v>0</v>
      </c>
      <c r="BU46" s="257">
        <f t="shared" si="66"/>
        <v>0</v>
      </c>
      <c r="BV46" s="257">
        <f t="shared" si="66"/>
        <v>0</v>
      </c>
      <c r="BW46" s="257">
        <f t="shared" si="66"/>
        <v>0</v>
      </c>
      <c r="BX46" s="257">
        <f t="shared" si="66"/>
        <v>0</v>
      </c>
      <c r="BY46" s="257">
        <f t="shared" si="66"/>
        <v>0</v>
      </c>
      <c r="BZ46" s="257">
        <f t="shared" si="66"/>
        <v>0</v>
      </c>
      <c r="CA46" s="257">
        <f t="shared" si="66"/>
        <v>0</v>
      </c>
      <c r="CB46" s="257">
        <f t="shared" si="66"/>
        <v>0</v>
      </c>
      <c r="CC46" s="257">
        <f t="shared" si="66"/>
        <v>0</v>
      </c>
      <c r="CD46" s="257">
        <f t="shared" si="66"/>
        <v>0</v>
      </c>
      <c r="CE46" s="257">
        <f t="shared" si="66"/>
        <v>0</v>
      </c>
      <c r="CF46" s="257">
        <f t="shared" si="66"/>
        <v>0</v>
      </c>
      <c r="CG46" s="257">
        <f t="shared" si="66"/>
        <v>0</v>
      </c>
      <c r="CH46" s="257">
        <f t="shared" si="66"/>
        <v>0</v>
      </c>
      <c r="CI46" s="257">
        <f t="shared" si="66"/>
        <v>0</v>
      </c>
      <c r="CJ46" s="257">
        <f t="shared" si="66"/>
        <v>0</v>
      </c>
      <c r="CK46" s="257">
        <f t="shared" si="66"/>
        <v>0</v>
      </c>
      <c r="CL46" s="257">
        <f t="shared" si="66"/>
        <v>0</v>
      </c>
      <c r="CM46" s="257">
        <f t="shared" ref="CM46:DC46" si="67">CM42*$D$43+CM44*$D$45</f>
        <v>0</v>
      </c>
      <c r="CN46" s="257">
        <f t="shared" si="67"/>
        <v>0</v>
      </c>
      <c r="CO46" s="257">
        <f t="shared" si="67"/>
        <v>0</v>
      </c>
      <c r="CP46" s="257">
        <f t="shared" si="67"/>
        <v>0</v>
      </c>
      <c r="CQ46" s="257">
        <f t="shared" si="67"/>
        <v>0</v>
      </c>
      <c r="CR46" s="257">
        <f t="shared" si="67"/>
        <v>0</v>
      </c>
      <c r="CS46" s="257">
        <f t="shared" si="67"/>
        <v>0</v>
      </c>
      <c r="CT46" s="257">
        <f t="shared" si="67"/>
        <v>0</v>
      </c>
      <c r="CU46" s="257">
        <f t="shared" si="67"/>
        <v>0</v>
      </c>
      <c r="CV46" s="257">
        <f t="shared" si="67"/>
        <v>0</v>
      </c>
      <c r="CW46" s="257">
        <f t="shared" si="67"/>
        <v>0</v>
      </c>
      <c r="CX46" s="257">
        <f t="shared" si="67"/>
        <v>0</v>
      </c>
      <c r="CY46" s="257">
        <f t="shared" si="67"/>
        <v>0</v>
      </c>
      <c r="CZ46" s="257">
        <f t="shared" si="67"/>
        <v>0</v>
      </c>
      <c r="DA46" s="257">
        <f t="shared" si="67"/>
        <v>0</v>
      </c>
      <c r="DB46" s="257">
        <f t="shared" si="67"/>
        <v>0</v>
      </c>
      <c r="DC46" s="257">
        <f t="shared" si="67"/>
        <v>0</v>
      </c>
    </row>
    <row r="47" spans="2:107" ht="15" customHeight="1" x14ac:dyDescent="0.25">
      <c r="B47" s="253"/>
      <c r="C47" s="254" t="s">
        <v>4844</v>
      </c>
      <c r="D47" s="254"/>
      <c r="E47" s="542" t="s">
        <v>3911</v>
      </c>
      <c r="F47" s="255" t="s">
        <v>4845</v>
      </c>
      <c r="G47" s="256">
        <f>G44*D45</f>
        <v>0</v>
      </c>
      <c r="H47" s="257">
        <f>H44*$D$45</f>
        <v>0</v>
      </c>
      <c r="I47" s="257">
        <f t="shared" ref="I47:Z47" si="68">I44*$D$45</f>
        <v>0</v>
      </c>
      <c r="J47" s="257">
        <f t="shared" si="68"/>
        <v>0</v>
      </c>
      <c r="K47" s="257">
        <f t="shared" si="68"/>
        <v>0</v>
      </c>
      <c r="L47" s="257">
        <f t="shared" si="68"/>
        <v>0</v>
      </c>
      <c r="M47" s="257">
        <f t="shared" si="68"/>
        <v>0</v>
      </c>
      <c r="N47" s="257">
        <f t="shared" si="68"/>
        <v>0</v>
      </c>
      <c r="O47" s="257">
        <f t="shared" si="68"/>
        <v>0</v>
      </c>
      <c r="P47" s="257">
        <f t="shared" si="68"/>
        <v>0</v>
      </c>
      <c r="Q47" s="257">
        <f t="shared" si="68"/>
        <v>0</v>
      </c>
      <c r="R47" s="257">
        <f t="shared" si="68"/>
        <v>0</v>
      </c>
      <c r="S47" s="257">
        <f t="shared" si="68"/>
        <v>0</v>
      </c>
      <c r="T47" s="257">
        <f t="shared" si="68"/>
        <v>0</v>
      </c>
      <c r="U47" s="257">
        <f t="shared" si="68"/>
        <v>0</v>
      </c>
      <c r="V47" s="257">
        <f t="shared" si="68"/>
        <v>0</v>
      </c>
      <c r="W47" s="257">
        <f t="shared" si="68"/>
        <v>0</v>
      </c>
      <c r="X47" s="257">
        <f t="shared" si="68"/>
        <v>0</v>
      </c>
      <c r="Y47" s="257">
        <f t="shared" si="68"/>
        <v>0</v>
      </c>
      <c r="Z47" s="257">
        <f t="shared" si="68"/>
        <v>0</v>
      </c>
      <c r="AA47" s="257">
        <f t="shared" ref="AA47:CL47" si="69">AA44*$D$45</f>
        <v>0</v>
      </c>
      <c r="AB47" s="257">
        <f t="shared" si="69"/>
        <v>0</v>
      </c>
      <c r="AC47" s="257">
        <f t="shared" si="69"/>
        <v>0</v>
      </c>
      <c r="AD47" s="257">
        <f t="shared" si="69"/>
        <v>0</v>
      </c>
      <c r="AE47" s="257">
        <f t="shared" si="69"/>
        <v>0</v>
      </c>
      <c r="AF47" s="257">
        <f t="shared" si="69"/>
        <v>0</v>
      </c>
      <c r="AG47" s="257">
        <f t="shared" si="69"/>
        <v>0</v>
      </c>
      <c r="AH47" s="257">
        <f t="shared" si="69"/>
        <v>0</v>
      </c>
      <c r="AI47" s="257">
        <f t="shared" si="69"/>
        <v>0</v>
      </c>
      <c r="AJ47" s="257">
        <f t="shared" si="69"/>
        <v>0</v>
      </c>
      <c r="AK47" s="257">
        <f t="shared" si="69"/>
        <v>0</v>
      </c>
      <c r="AL47" s="257">
        <f t="shared" si="69"/>
        <v>0</v>
      </c>
      <c r="AM47" s="257">
        <f t="shared" si="69"/>
        <v>0</v>
      </c>
      <c r="AN47" s="257">
        <f t="shared" si="69"/>
        <v>0</v>
      </c>
      <c r="AO47" s="257">
        <f t="shared" si="69"/>
        <v>0</v>
      </c>
      <c r="AP47" s="257">
        <f t="shared" si="69"/>
        <v>0</v>
      </c>
      <c r="AQ47" s="257">
        <f t="shared" si="69"/>
        <v>0</v>
      </c>
      <c r="AR47" s="257">
        <f t="shared" si="69"/>
        <v>0</v>
      </c>
      <c r="AS47" s="257">
        <f t="shared" si="69"/>
        <v>0</v>
      </c>
      <c r="AT47" s="257">
        <f t="shared" si="69"/>
        <v>0</v>
      </c>
      <c r="AU47" s="257">
        <f t="shared" si="69"/>
        <v>0</v>
      </c>
      <c r="AV47" s="257">
        <f t="shared" si="69"/>
        <v>0</v>
      </c>
      <c r="AW47" s="257">
        <f t="shared" si="69"/>
        <v>0</v>
      </c>
      <c r="AX47" s="257">
        <f t="shared" si="69"/>
        <v>0</v>
      </c>
      <c r="AY47" s="257">
        <f t="shared" si="69"/>
        <v>0</v>
      </c>
      <c r="AZ47" s="257">
        <f t="shared" si="69"/>
        <v>0</v>
      </c>
      <c r="BA47" s="257">
        <f t="shared" si="69"/>
        <v>0</v>
      </c>
      <c r="BB47" s="257">
        <f t="shared" si="69"/>
        <v>0</v>
      </c>
      <c r="BC47" s="257">
        <f t="shared" si="69"/>
        <v>0</v>
      </c>
      <c r="BD47" s="257">
        <f t="shared" si="69"/>
        <v>0</v>
      </c>
      <c r="BE47" s="257">
        <f t="shared" si="69"/>
        <v>0</v>
      </c>
      <c r="BF47" s="257">
        <f t="shared" si="69"/>
        <v>0</v>
      </c>
      <c r="BG47" s="257">
        <f t="shared" si="69"/>
        <v>0</v>
      </c>
      <c r="BH47" s="257">
        <f t="shared" si="69"/>
        <v>0</v>
      </c>
      <c r="BI47" s="257">
        <f t="shared" si="69"/>
        <v>0</v>
      </c>
      <c r="BJ47" s="257">
        <f t="shared" si="69"/>
        <v>0</v>
      </c>
      <c r="BK47" s="257">
        <f t="shared" si="69"/>
        <v>0</v>
      </c>
      <c r="BL47" s="257">
        <f t="shared" si="69"/>
        <v>0</v>
      </c>
      <c r="BM47" s="257">
        <f t="shared" si="69"/>
        <v>0</v>
      </c>
      <c r="BN47" s="257">
        <f t="shared" si="69"/>
        <v>0</v>
      </c>
      <c r="BO47" s="257">
        <f t="shared" si="69"/>
        <v>0</v>
      </c>
      <c r="BP47" s="257">
        <f t="shared" si="69"/>
        <v>0</v>
      </c>
      <c r="BQ47" s="257">
        <f t="shared" si="69"/>
        <v>0</v>
      </c>
      <c r="BR47" s="257">
        <f t="shared" si="69"/>
        <v>0</v>
      </c>
      <c r="BS47" s="257">
        <f t="shared" si="69"/>
        <v>0</v>
      </c>
      <c r="BT47" s="257">
        <f t="shared" si="69"/>
        <v>0</v>
      </c>
      <c r="BU47" s="257">
        <f t="shared" si="69"/>
        <v>0</v>
      </c>
      <c r="BV47" s="257">
        <f t="shared" si="69"/>
        <v>0</v>
      </c>
      <c r="BW47" s="257">
        <f t="shared" si="69"/>
        <v>0</v>
      </c>
      <c r="BX47" s="257">
        <f t="shared" si="69"/>
        <v>0</v>
      </c>
      <c r="BY47" s="257">
        <f t="shared" si="69"/>
        <v>0</v>
      </c>
      <c r="BZ47" s="257">
        <f t="shared" si="69"/>
        <v>0</v>
      </c>
      <c r="CA47" s="257">
        <f t="shared" si="69"/>
        <v>0</v>
      </c>
      <c r="CB47" s="257">
        <f t="shared" si="69"/>
        <v>0</v>
      </c>
      <c r="CC47" s="257">
        <f t="shared" si="69"/>
        <v>0</v>
      </c>
      <c r="CD47" s="257">
        <f t="shared" si="69"/>
        <v>0</v>
      </c>
      <c r="CE47" s="257">
        <f t="shared" si="69"/>
        <v>0</v>
      </c>
      <c r="CF47" s="257">
        <f t="shared" si="69"/>
        <v>0</v>
      </c>
      <c r="CG47" s="257">
        <f t="shared" si="69"/>
        <v>0</v>
      </c>
      <c r="CH47" s="257">
        <f t="shared" si="69"/>
        <v>0</v>
      </c>
      <c r="CI47" s="257">
        <f t="shared" si="69"/>
        <v>0</v>
      </c>
      <c r="CJ47" s="257">
        <f t="shared" si="69"/>
        <v>0</v>
      </c>
      <c r="CK47" s="257">
        <f t="shared" si="69"/>
        <v>0</v>
      </c>
      <c r="CL47" s="257">
        <f t="shared" si="69"/>
        <v>0</v>
      </c>
      <c r="CM47" s="257">
        <f t="shared" ref="CM47:DC47" si="70">CM44*$D$45</f>
        <v>0</v>
      </c>
      <c r="CN47" s="257">
        <f t="shared" si="70"/>
        <v>0</v>
      </c>
      <c r="CO47" s="257">
        <f t="shared" si="70"/>
        <v>0</v>
      </c>
      <c r="CP47" s="257">
        <f t="shared" si="70"/>
        <v>0</v>
      </c>
      <c r="CQ47" s="257">
        <f t="shared" si="70"/>
        <v>0</v>
      </c>
      <c r="CR47" s="257">
        <f t="shared" si="70"/>
        <v>0</v>
      </c>
      <c r="CS47" s="257">
        <f t="shared" si="70"/>
        <v>0</v>
      </c>
      <c r="CT47" s="257">
        <f t="shared" si="70"/>
        <v>0</v>
      </c>
      <c r="CU47" s="257">
        <f t="shared" si="70"/>
        <v>0</v>
      </c>
      <c r="CV47" s="257">
        <f t="shared" si="70"/>
        <v>0</v>
      </c>
      <c r="CW47" s="257">
        <f t="shared" si="70"/>
        <v>0</v>
      </c>
      <c r="CX47" s="257">
        <f t="shared" si="70"/>
        <v>0</v>
      </c>
      <c r="CY47" s="257">
        <f t="shared" si="70"/>
        <v>0</v>
      </c>
      <c r="CZ47" s="257">
        <f t="shared" si="70"/>
        <v>0</v>
      </c>
      <c r="DA47" s="257">
        <f t="shared" si="70"/>
        <v>0</v>
      </c>
      <c r="DB47" s="257">
        <f t="shared" si="70"/>
        <v>0</v>
      </c>
      <c r="DC47" s="257">
        <f t="shared" si="70"/>
        <v>0</v>
      </c>
    </row>
    <row r="48" spans="2:107" ht="15" customHeight="1" x14ac:dyDescent="0.25">
      <c r="B48" s="253"/>
      <c r="C48" s="254" t="s">
        <v>4846</v>
      </c>
      <c r="D48" s="254"/>
      <c r="E48" s="542" t="s">
        <v>3911</v>
      </c>
      <c r="F48" s="255" t="s">
        <v>4847</v>
      </c>
      <c r="G48" s="256">
        <f>G42*D43</f>
        <v>0</v>
      </c>
      <c r="H48" s="257">
        <f>H42*$D$43</f>
        <v>0</v>
      </c>
      <c r="I48" s="257">
        <f t="shared" ref="I48:Z48" si="71">I42*$D$43</f>
        <v>0</v>
      </c>
      <c r="J48" s="257">
        <f t="shared" si="71"/>
        <v>0</v>
      </c>
      <c r="K48" s="257">
        <f t="shared" si="71"/>
        <v>0</v>
      </c>
      <c r="L48" s="257">
        <f t="shared" si="71"/>
        <v>0</v>
      </c>
      <c r="M48" s="257">
        <f t="shared" si="71"/>
        <v>0</v>
      </c>
      <c r="N48" s="257">
        <f t="shared" si="71"/>
        <v>0</v>
      </c>
      <c r="O48" s="257">
        <f t="shared" si="71"/>
        <v>0</v>
      </c>
      <c r="P48" s="257">
        <f t="shared" si="71"/>
        <v>0</v>
      </c>
      <c r="Q48" s="257">
        <f t="shared" si="71"/>
        <v>0</v>
      </c>
      <c r="R48" s="257">
        <f t="shared" si="71"/>
        <v>0</v>
      </c>
      <c r="S48" s="257">
        <f t="shared" si="71"/>
        <v>0</v>
      </c>
      <c r="T48" s="257">
        <f t="shared" si="71"/>
        <v>0</v>
      </c>
      <c r="U48" s="257">
        <f t="shared" si="71"/>
        <v>0</v>
      </c>
      <c r="V48" s="257">
        <f t="shared" si="71"/>
        <v>0</v>
      </c>
      <c r="W48" s="257">
        <f t="shared" si="71"/>
        <v>0</v>
      </c>
      <c r="X48" s="257">
        <f t="shared" si="71"/>
        <v>0</v>
      </c>
      <c r="Y48" s="257">
        <f t="shared" si="71"/>
        <v>0</v>
      </c>
      <c r="Z48" s="257">
        <f t="shared" si="71"/>
        <v>0</v>
      </c>
      <c r="AA48" s="257">
        <f t="shared" ref="AA48:CL48" si="72">AA42*$D$43</f>
        <v>0</v>
      </c>
      <c r="AB48" s="257">
        <f t="shared" si="72"/>
        <v>0</v>
      </c>
      <c r="AC48" s="257">
        <f t="shared" si="72"/>
        <v>0</v>
      </c>
      <c r="AD48" s="257">
        <f t="shared" si="72"/>
        <v>0</v>
      </c>
      <c r="AE48" s="257">
        <f t="shared" si="72"/>
        <v>0</v>
      </c>
      <c r="AF48" s="257">
        <f t="shared" si="72"/>
        <v>0</v>
      </c>
      <c r="AG48" s="257">
        <f t="shared" si="72"/>
        <v>0</v>
      </c>
      <c r="AH48" s="257">
        <f t="shared" si="72"/>
        <v>0</v>
      </c>
      <c r="AI48" s="257">
        <f t="shared" si="72"/>
        <v>0</v>
      </c>
      <c r="AJ48" s="257">
        <f t="shared" si="72"/>
        <v>0</v>
      </c>
      <c r="AK48" s="257">
        <f t="shared" si="72"/>
        <v>0</v>
      </c>
      <c r="AL48" s="257">
        <f t="shared" si="72"/>
        <v>0</v>
      </c>
      <c r="AM48" s="257">
        <f t="shared" si="72"/>
        <v>0</v>
      </c>
      <c r="AN48" s="257">
        <f t="shared" si="72"/>
        <v>0</v>
      </c>
      <c r="AO48" s="257">
        <f t="shared" si="72"/>
        <v>0</v>
      </c>
      <c r="AP48" s="257">
        <f t="shared" si="72"/>
        <v>0</v>
      </c>
      <c r="AQ48" s="257">
        <f t="shared" si="72"/>
        <v>0</v>
      </c>
      <c r="AR48" s="257">
        <f t="shared" si="72"/>
        <v>0</v>
      </c>
      <c r="AS48" s="257">
        <f t="shared" si="72"/>
        <v>0</v>
      </c>
      <c r="AT48" s="257">
        <f t="shared" si="72"/>
        <v>0</v>
      </c>
      <c r="AU48" s="257">
        <f t="shared" si="72"/>
        <v>0</v>
      </c>
      <c r="AV48" s="257">
        <f t="shared" si="72"/>
        <v>0</v>
      </c>
      <c r="AW48" s="257">
        <f t="shared" si="72"/>
        <v>0</v>
      </c>
      <c r="AX48" s="257">
        <f t="shared" si="72"/>
        <v>0</v>
      </c>
      <c r="AY48" s="257">
        <f t="shared" si="72"/>
        <v>0</v>
      </c>
      <c r="AZ48" s="257">
        <f t="shared" si="72"/>
        <v>0</v>
      </c>
      <c r="BA48" s="257">
        <f t="shared" si="72"/>
        <v>0</v>
      </c>
      <c r="BB48" s="257">
        <f t="shared" si="72"/>
        <v>0</v>
      </c>
      <c r="BC48" s="257">
        <f t="shared" si="72"/>
        <v>0</v>
      </c>
      <c r="BD48" s="257">
        <f t="shared" si="72"/>
        <v>0</v>
      </c>
      <c r="BE48" s="257">
        <f t="shared" si="72"/>
        <v>0</v>
      </c>
      <c r="BF48" s="257">
        <f t="shared" si="72"/>
        <v>0</v>
      </c>
      <c r="BG48" s="257">
        <f t="shared" si="72"/>
        <v>0</v>
      </c>
      <c r="BH48" s="257">
        <f t="shared" si="72"/>
        <v>0</v>
      </c>
      <c r="BI48" s="257">
        <f t="shared" si="72"/>
        <v>0</v>
      </c>
      <c r="BJ48" s="257">
        <f t="shared" si="72"/>
        <v>0</v>
      </c>
      <c r="BK48" s="257">
        <f t="shared" si="72"/>
        <v>0</v>
      </c>
      <c r="BL48" s="257">
        <f t="shared" si="72"/>
        <v>0</v>
      </c>
      <c r="BM48" s="257">
        <f t="shared" si="72"/>
        <v>0</v>
      </c>
      <c r="BN48" s="257">
        <f t="shared" si="72"/>
        <v>0</v>
      </c>
      <c r="BO48" s="257">
        <f t="shared" si="72"/>
        <v>0</v>
      </c>
      <c r="BP48" s="257">
        <f t="shared" si="72"/>
        <v>0</v>
      </c>
      <c r="BQ48" s="257">
        <f t="shared" si="72"/>
        <v>0</v>
      </c>
      <c r="BR48" s="257">
        <f t="shared" si="72"/>
        <v>0</v>
      </c>
      <c r="BS48" s="257">
        <f t="shared" si="72"/>
        <v>0</v>
      </c>
      <c r="BT48" s="257">
        <f t="shared" si="72"/>
        <v>0</v>
      </c>
      <c r="BU48" s="257">
        <f t="shared" si="72"/>
        <v>0</v>
      </c>
      <c r="BV48" s="257">
        <f t="shared" si="72"/>
        <v>0</v>
      </c>
      <c r="BW48" s="257">
        <f t="shared" si="72"/>
        <v>0</v>
      </c>
      <c r="BX48" s="257">
        <f t="shared" si="72"/>
        <v>0</v>
      </c>
      <c r="BY48" s="257">
        <f t="shared" si="72"/>
        <v>0</v>
      </c>
      <c r="BZ48" s="257">
        <f t="shared" si="72"/>
        <v>0</v>
      </c>
      <c r="CA48" s="257">
        <f t="shared" si="72"/>
        <v>0</v>
      </c>
      <c r="CB48" s="257">
        <f t="shared" si="72"/>
        <v>0</v>
      </c>
      <c r="CC48" s="257">
        <f t="shared" si="72"/>
        <v>0</v>
      </c>
      <c r="CD48" s="257">
        <f t="shared" si="72"/>
        <v>0</v>
      </c>
      <c r="CE48" s="257">
        <f t="shared" si="72"/>
        <v>0</v>
      </c>
      <c r="CF48" s="257">
        <f t="shared" si="72"/>
        <v>0</v>
      </c>
      <c r="CG48" s="257">
        <f t="shared" si="72"/>
        <v>0</v>
      </c>
      <c r="CH48" s="257">
        <f t="shared" si="72"/>
        <v>0</v>
      </c>
      <c r="CI48" s="257">
        <f t="shared" si="72"/>
        <v>0</v>
      </c>
      <c r="CJ48" s="257">
        <f t="shared" si="72"/>
        <v>0</v>
      </c>
      <c r="CK48" s="257">
        <f t="shared" si="72"/>
        <v>0</v>
      </c>
      <c r="CL48" s="257">
        <f t="shared" si="72"/>
        <v>0</v>
      </c>
      <c r="CM48" s="257">
        <f t="shared" ref="CM48:DC48" si="73">CM42*$D$43</f>
        <v>0</v>
      </c>
      <c r="CN48" s="257">
        <f t="shared" si="73"/>
        <v>0</v>
      </c>
      <c r="CO48" s="257">
        <f t="shared" si="73"/>
        <v>0</v>
      </c>
      <c r="CP48" s="257">
        <f t="shared" si="73"/>
        <v>0</v>
      </c>
      <c r="CQ48" s="257">
        <f t="shared" si="73"/>
        <v>0</v>
      </c>
      <c r="CR48" s="257">
        <f t="shared" si="73"/>
        <v>0</v>
      </c>
      <c r="CS48" s="257">
        <f t="shared" si="73"/>
        <v>0</v>
      </c>
      <c r="CT48" s="257">
        <f t="shared" si="73"/>
        <v>0</v>
      </c>
      <c r="CU48" s="257">
        <f t="shared" si="73"/>
        <v>0</v>
      </c>
      <c r="CV48" s="257">
        <f t="shared" si="73"/>
        <v>0</v>
      </c>
      <c r="CW48" s="257">
        <f t="shared" si="73"/>
        <v>0</v>
      </c>
      <c r="CX48" s="257">
        <f t="shared" si="73"/>
        <v>0</v>
      </c>
      <c r="CY48" s="257">
        <f t="shared" si="73"/>
        <v>0</v>
      </c>
      <c r="CZ48" s="257">
        <f t="shared" si="73"/>
        <v>0</v>
      </c>
      <c r="DA48" s="257">
        <f t="shared" si="73"/>
        <v>0</v>
      </c>
      <c r="DB48" s="257">
        <f t="shared" si="73"/>
        <v>0</v>
      </c>
      <c r="DC48" s="257">
        <f t="shared" si="73"/>
        <v>0</v>
      </c>
    </row>
    <row r="50" spans="2:107" ht="15" customHeight="1" x14ac:dyDescent="0.35">
      <c r="E50" s="189" t="s">
        <v>4728</v>
      </c>
      <c r="F50" s="190"/>
      <c r="G50" s="191">
        <f>RCB!$G$10</f>
        <v>0</v>
      </c>
      <c r="I50" s="189" t="s">
        <v>4729</v>
      </c>
      <c r="J50" s="190"/>
      <c r="K50" s="191">
        <f>RCB!$J$10</f>
        <v>0</v>
      </c>
    </row>
    <row r="51" spans="2:107" ht="15" customHeight="1" x14ac:dyDescent="0.35">
      <c r="E51" s="189" t="s">
        <v>4074</v>
      </c>
      <c r="F51" s="190"/>
      <c r="G51" s="191">
        <f>RCB!$H$7</f>
        <v>0</v>
      </c>
      <c r="I51" s="189" t="s">
        <v>4075</v>
      </c>
      <c r="J51" s="190"/>
      <c r="K51" s="191">
        <f>RCB!$K$7</f>
        <v>0</v>
      </c>
    </row>
    <row r="53" spans="2:107" ht="15" hidden="1" customHeight="1" x14ac:dyDescent="0.25">
      <c r="B53" s="858" t="s">
        <v>4848</v>
      </c>
      <c r="C53" s="859"/>
      <c r="D53" s="859"/>
      <c r="E53" s="859"/>
      <c r="F53" s="859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</row>
    <row r="54" spans="2:107" s="103" customFormat="1" ht="15" hidden="1" customHeight="1" x14ac:dyDescent="0.25">
      <c r="B54" s="259"/>
      <c r="C54" s="260"/>
      <c r="D54" s="260"/>
      <c r="E54" s="260"/>
      <c r="F54" s="261"/>
      <c r="G54" s="262" t="s">
        <v>76</v>
      </c>
      <c r="H54" s="263" t="s">
        <v>4739</v>
      </c>
      <c r="I54" s="263" t="s">
        <v>4740</v>
      </c>
      <c r="J54" s="263" t="s">
        <v>4741</v>
      </c>
      <c r="K54" s="263" t="s">
        <v>4742</v>
      </c>
      <c r="L54" s="263" t="s">
        <v>4743</v>
      </c>
      <c r="M54" s="263" t="s">
        <v>4744</v>
      </c>
      <c r="N54" s="263" t="s">
        <v>4745</v>
      </c>
      <c r="O54" s="263" t="s">
        <v>4746</v>
      </c>
      <c r="P54" s="263" t="s">
        <v>4747</v>
      </c>
      <c r="Q54" s="263" t="s">
        <v>4748</v>
      </c>
      <c r="R54" s="263" t="s">
        <v>4749</v>
      </c>
      <c r="S54" s="263" t="s">
        <v>4750</v>
      </c>
      <c r="T54" s="263" t="s">
        <v>4751</v>
      </c>
      <c r="U54" s="263" t="s">
        <v>4752</v>
      </c>
      <c r="V54" s="263" t="s">
        <v>4753</v>
      </c>
      <c r="W54" s="263" t="s">
        <v>4754</v>
      </c>
      <c r="X54" s="263" t="s">
        <v>4755</v>
      </c>
      <c r="Y54" s="263" t="s">
        <v>4756</v>
      </c>
      <c r="Z54" s="263" t="s">
        <v>4757</v>
      </c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 t="s">
        <v>4758</v>
      </c>
    </row>
    <row r="55" spans="2:107" ht="15" hidden="1" customHeight="1" x14ac:dyDescent="0.25">
      <c r="B55" s="259">
        <v>31</v>
      </c>
      <c r="C55" s="264" t="s">
        <v>4196</v>
      </c>
      <c r="D55" s="264"/>
      <c r="E55" s="265"/>
      <c r="F55" s="266"/>
      <c r="G55" s="267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29"/>
      <c r="CV55" s="229"/>
      <c r="CW55" s="229"/>
      <c r="CX55" s="229"/>
      <c r="CY55" s="229"/>
      <c r="CZ55" s="229"/>
      <c r="DA55" s="229"/>
      <c r="DB55" s="229"/>
      <c r="DC55" s="229"/>
    </row>
    <row r="56" spans="2:107" ht="15" hidden="1" customHeight="1" x14ac:dyDescent="0.25">
      <c r="B56" s="259">
        <v>32</v>
      </c>
      <c r="C56" s="264" t="s">
        <v>4256</v>
      </c>
      <c r="D56" s="264"/>
      <c r="E56" s="265"/>
      <c r="F56" s="268" t="s">
        <v>4257</v>
      </c>
      <c r="G56" s="269">
        <f>SUM(H56:DC56)</f>
        <v>0</v>
      </c>
      <c r="H56" s="270"/>
      <c r="I56" s="270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</row>
    <row r="57" spans="2:107" ht="15" hidden="1" customHeight="1" x14ac:dyDescent="0.25">
      <c r="B57" s="902">
        <v>33</v>
      </c>
      <c r="C57" s="264" t="s">
        <v>4473</v>
      </c>
      <c r="D57" s="264"/>
      <c r="E57" s="265" t="s">
        <v>3857</v>
      </c>
      <c r="F57" s="268" t="s">
        <v>4474</v>
      </c>
      <c r="G57" s="271">
        <f>SUM(H57:DC57)</f>
        <v>0</v>
      </c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</row>
    <row r="58" spans="2:107" ht="15" hidden="1" customHeight="1" x14ac:dyDescent="0.25">
      <c r="B58" s="760"/>
      <c r="C58" s="264" t="s">
        <v>4331</v>
      </c>
      <c r="D58" s="264"/>
      <c r="E58" s="265" t="s">
        <v>3857</v>
      </c>
      <c r="F58" s="268" t="s">
        <v>4320</v>
      </c>
      <c r="G58" s="271">
        <f>SUM(H58:DC58)</f>
        <v>0</v>
      </c>
      <c r="H58" s="272">
        <f t="shared" ref="H58:Z58" si="74">H56*H57</f>
        <v>0</v>
      </c>
      <c r="I58" s="272">
        <f t="shared" si="74"/>
        <v>0</v>
      </c>
      <c r="J58" s="272">
        <f t="shared" si="74"/>
        <v>0</v>
      </c>
      <c r="K58" s="272">
        <f t="shared" si="74"/>
        <v>0</v>
      </c>
      <c r="L58" s="272">
        <f t="shared" si="74"/>
        <v>0</v>
      </c>
      <c r="M58" s="272">
        <f t="shared" si="74"/>
        <v>0</v>
      </c>
      <c r="N58" s="272">
        <f t="shared" si="74"/>
        <v>0</v>
      </c>
      <c r="O58" s="272">
        <f t="shared" si="74"/>
        <v>0</v>
      </c>
      <c r="P58" s="272">
        <f t="shared" si="74"/>
        <v>0</v>
      </c>
      <c r="Q58" s="272">
        <f t="shared" si="74"/>
        <v>0</v>
      </c>
      <c r="R58" s="272">
        <f t="shared" si="74"/>
        <v>0</v>
      </c>
      <c r="S58" s="272">
        <f t="shared" si="74"/>
        <v>0</v>
      </c>
      <c r="T58" s="272">
        <f t="shared" si="74"/>
        <v>0</v>
      </c>
      <c r="U58" s="272">
        <f t="shared" si="74"/>
        <v>0</v>
      </c>
      <c r="V58" s="272">
        <f t="shared" si="74"/>
        <v>0</v>
      </c>
      <c r="W58" s="272">
        <f t="shared" si="74"/>
        <v>0</v>
      </c>
      <c r="X58" s="272">
        <f t="shared" si="74"/>
        <v>0</v>
      </c>
      <c r="Y58" s="272">
        <f t="shared" si="74"/>
        <v>0</v>
      </c>
      <c r="Z58" s="272">
        <f t="shared" si="74"/>
        <v>0</v>
      </c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>
        <f>DC56*DC57</f>
        <v>0</v>
      </c>
    </row>
    <row r="59" spans="2:107" ht="15" hidden="1" customHeight="1" x14ac:dyDescent="0.25">
      <c r="B59" s="902">
        <v>34</v>
      </c>
      <c r="C59" s="264" t="s">
        <v>4475</v>
      </c>
      <c r="D59" s="264"/>
      <c r="E59" s="265"/>
      <c r="F59" s="268" t="s">
        <v>4476</v>
      </c>
      <c r="G59" s="271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</row>
    <row r="60" spans="2:107" ht="15" hidden="1" customHeight="1" x14ac:dyDescent="0.25">
      <c r="B60" s="758"/>
      <c r="C60" s="264" t="s">
        <v>4477</v>
      </c>
      <c r="D60" s="264"/>
      <c r="E60" s="265"/>
      <c r="F60" s="268" t="s">
        <v>4478</v>
      </c>
      <c r="G60" s="271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</row>
    <row r="61" spans="2:107" ht="15" hidden="1" customHeight="1" x14ac:dyDescent="0.25">
      <c r="B61" s="760"/>
      <c r="C61" s="264" t="s">
        <v>4479</v>
      </c>
      <c r="D61" s="264"/>
      <c r="E61" s="265" t="s">
        <v>4480</v>
      </c>
      <c r="F61" s="268" t="s">
        <v>4481</v>
      </c>
      <c r="G61" s="271">
        <f>SUM(H61:DC61)</f>
        <v>0</v>
      </c>
      <c r="H61" s="272">
        <f t="shared" ref="H61:Z61" si="75">H56*H59*H60</f>
        <v>0</v>
      </c>
      <c r="I61" s="272">
        <f t="shared" si="75"/>
        <v>0</v>
      </c>
      <c r="J61" s="272">
        <f t="shared" si="75"/>
        <v>0</v>
      </c>
      <c r="K61" s="272">
        <f t="shared" si="75"/>
        <v>0</v>
      </c>
      <c r="L61" s="272">
        <f t="shared" si="75"/>
        <v>0</v>
      </c>
      <c r="M61" s="272">
        <f t="shared" si="75"/>
        <v>0</v>
      </c>
      <c r="N61" s="272">
        <f t="shared" si="75"/>
        <v>0</v>
      </c>
      <c r="O61" s="272">
        <f t="shared" si="75"/>
        <v>0</v>
      </c>
      <c r="P61" s="272">
        <f t="shared" si="75"/>
        <v>0</v>
      </c>
      <c r="Q61" s="272">
        <f t="shared" si="75"/>
        <v>0</v>
      </c>
      <c r="R61" s="272">
        <f t="shared" si="75"/>
        <v>0</v>
      </c>
      <c r="S61" s="272">
        <f t="shared" si="75"/>
        <v>0</v>
      </c>
      <c r="T61" s="272">
        <f t="shared" si="75"/>
        <v>0</v>
      </c>
      <c r="U61" s="272">
        <f t="shared" si="75"/>
        <v>0</v>
      </c>
      <c r="V61" s="272">
        <f t="shared" si="75"/>
        <v>0</v>
      </c>
      <c r="W61" s="272">
        <f t="shared" si="75"/>
        <v>0</v>
      </c>
      <c r="X61" s="272">
        <f t="shared" si="75"/>
        <v>0</v>
      </c>
      <c r="Y61" s="272">
        <f t="shared" si="75"/>
        <v>0</v>
      </c>
      <c r="Z61" s="272">
        <f t="shared" si="75"/>
        <v>0</v>
      </c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>
        <f>DC56*DC59*DC60</f>
        <v>0</v>
      </c>
    </row>
    <row r="62" spans="2:107" ht="15" hidden="1" customHeight="1" x14ac:dyDescent="0.25">
      <c r="B62" s="902">
        <v>35</v>
      </c>
      <c r="C62" s="264" t="s">
        <v>4207</v>
      </c>
      <c r="D62" s="264"/>
      <c r="E62" s="273" t="s">
        <v>4208</v>
      </c>
      <c r="F62" s="276"/>
      <c r="G62" s="274" t="str">
        <f>IF(COUNTA(H62:DC62)=0,"",IF(OR(LARGE(H62:DC62,1)&gt;24,SMALL(H62:DC62,1)&lt;0),"ERRO",""))</f>
        <v/>
      </c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</row>
    <row r="63" spans="2:107" ht="15" hidden="1" customHeight="1" x14ac:dyDescent="0.25">
      <c r="B63" s="758"/>
      <c r="C63" s="275" t="s">
        <v>4209</v>
      </c>
      <c r="D63" s="275"/>
      <c r="E63" s="552" t="s">
        <v>4210</v>
      </c>
      <c r="F63" s="276"/>
      <c r="G63" s="274" t="str">
        <f>IF(COUNTA(H63:DC63)=0,"",IF(OR(LARGE(H63:DC63,1)&gt;365,SMALL(H63:DC63,1)&lt;0),"ERRO",""))</f>
        <v/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</row>
    <row r="64" spans="2:107" ht="15" hidden="1" customHeight="1" x14ac:dyDescent="0.25">
      <c r="B64" s="760"/>
      <c r="C64" s="264" t="s">
        <v>4211</v>
      </c>
      <c r="D64" s="264"/>
      <c r="E64" s="265" t="s">
        <v>4212</v>
      </c>
      <c r="F64" s="276" t="s">
        <v>4213</v>
      </c>
      <c r="G64" s="274" t="str">
        <f>IF(COUNTA(H64:DC64)=0,"",IF(OR(LARGE(H64:DC64,1)&gt;8760,SMALL(H64:DC64,1)&lt;0),"ERRO",""))</f>
        <v/>
      </c>
      <c r="H64" s="272">
        <f t="shared" ref="H64:Z64" si="76">H62*H63</f>
        <v>0</v>
      </c>
      <c r="I64" s="272">
        <f t="shared" si="76"/>
        <v>0</v>
      </c>
      <c r="J64" s="272">
        <f t="shared" si="76"/>
        <v>0</v>
      </c>
      <c r="K64" s="272">
        <f t="shared" si="76"/>
        <v>0</v>
      </c>
      <c r="L64" s="272">
        <f t="shared" si="76"/>
        <v>0</v>
      </c>
      <c r="M64" s="272">
        <f t="shared" si="76"/>
        <v>0</v>
      </c>
      <c r="N64" s="272">
        <f t="shared" si="76"/>
        <v>0</v>
      </c>
      <c r="O64" s="272">
        <f t="shared" si="76"/>
        <v>0</v>
      </c>
      <c r="P64" s="272">
        <f t="shared" si="76"/>
        <v>0</v>
      </c>
      <c r="Q64" s="272">
        <f t="shared" si="76"/>
        <v>0</v>
      </c>
      <c r="R64" s="272">
        <f t="shared" si="76"/>
        <v>0</v>
      </c>
      <c r="S64" s="272">
        <f t="shared" si="76"/>
        <v>0</v>
      </c>
      <c r="T64" s="272">
        <f t="shared" si="76"/>
        <v>0</v>
      </c>
      <c r="U64" s="272">
        <f t="shared" si="76"/>
        <v>0</v>
      </c>
      <c r="V64" s="272">
        <f t="shared" si="76"/>
        <v>0</v>
      </c>
      <c r="W64" s="272">
        <f t="shared" si="76"/>
        <v>0</v>
      </c>
      <c r="X64" s="272">
        <f t="shared" si="76"/>
        <v>0</v>
      </c>
      <c r="Y64" s="272">
        <f t="shared" si="76"/>
        <v>0</v>
      </c>
      <c r="Z64" s="272">
        <f t="shared" si="76"/>
        <v>0</v>
      </c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>
        <f>DC62*DC63</f>
        <v>0</v>
      </c>
    </row>
    <row r="65" spans="2:107" ht="15" hidden="1" customHeight="1" x14ac:dyDescent="0.25">
      <c r="B65" s="902">
        <v>36</v>
      </c>
      <c r="C65" s="264" t="s">
        <v>4222</v>
      </c>
      <c r="D65" s="264"/>
      <c r="E65" s="265" t="s">
        <v>3857</v>
      </c>
      <c r="F65" s="276" t="s">
        <v>4223</v>
      </c>
      <c r="G65" s="550">
        <f>SUM(H65:DC65)</f>
        <v>0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</row>
    <row r="66" spans="2:107" ht="15" hidden="1" customHeight="1" x14ac:dyDescent="0.25">
      <c r="B66" s="760"/>
      <c r="C66" s="264" t="s">
        <v>4224</v>
      </c>
      <c r="D66" s="264"/>
      <c r="E66" s="265"/>
      <c r="F66" s="276" t="s">
        <v>4225</v>
      </c>
      <c r="G66" s="274" t="str">
        <f>IF(COUNTA(H66:DC66)=0,"",IF(OR(LARGE(H66:DC66,1)&gt;1,SMALL(H66:DC66,1)&lt;0),"ERRO",""))</f>
        <v/>
      </c>
      <c r="H66" s="272">
        <f t="shared" ref="H66:Z66" si="77">IF(H58=0,0,H65/H58)</f>
        <v>0</v>
      </c>
      <c r="I66" s="272">
        <f t="shared" si="77"/>
        <v>0</v>
      </c>
      <c r="J66" s="272">
        <f t="shared" si="77"/>
        <v>0</v>
      </c>
      <c r="K66" s="272">
        <f t="shared" si="77"/>
        <v>0</v>
      </c>
      <c r="L66" s="272">
        <f t="shared" si="77"/>
        <v>0</v>
      </c>
      <c r="M66" s="272">
        <f t="shared" si="77"/>
        <v>0</v>
      </c>
      <c r="N66" s="272">
        <f t="shared" si="77"/>
        <v>0</v>
      </c>
      <c r="O66" s="272">
        <f t="shared" si="77"/>
        <v>0</v>
      </c>
      <c r="P66" s="272">
        <f t="shared" si="77"/>
        <v>0</v>
      </c>
      <c r="Q66" s="272">
        <f t="shared" si="77"/>
        <v>0</v>
      </c>
      <c r="R66" s="272">
        <f t="shared" si="77"/>
        <v>0</v>
      </c>
      <c r="S66" s="272">
        <f t="shared" si="77"/>
        <v>0</v>
      </c>
      <c r="T66" s="272">
        <f t="shared" si="77"/>
        <v>0</v>
      </c>
      <c r="U66" s="272">
        <f t="shared" si="77"/>
        <v>0</v>
      </c>
      <c r="V66" s="272">
        <f t="shared" si="77"/>
        <v>0</v>
      </c>
      <c r="W66" s="272">
        <f t="shared" si="77"/>
        <v>0</v>
      </c>
      <c r="X66" s="272">
        <f t="shared" si="77"/>
        <v>0</v>
      </c>
      <c r="Y66" s="272">
        <f t="shared" si="77"/>
        <v>0</v>
      </c>
      <c r="Z66" s="272">
        <f t="shared" si="77"/>
        <v>0</v>
      </c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>
        <f>IF(DC58=0,0,DC65/DC58)</f>
        <v>0</v>
      </c>
    </row>
    <row r="67" spans="2:107" ht="15" hidden="1" customHeight="1" x14ac:dyDescent="0.25">
      <c r="B67" s="259">
        <v>37</v>
      </c>
      <c r="C67" s="264" t="s">
        <v>4226</v>
      </c>
      <c r="D67" s="264"/>
      <c r="E67" s="265" t="s">
        <v>3854</v>
      </c>
      <c r="F67" s="276" t="s">
        <v>4227</v>
      </c>
      <c r="G67" s="271">
        <f>SUM(H67:DC67)</f>
        <v>0</v>
      </c>
      <c r="H67" s="277">
        <f t="shared" ref="H67:Z67" si="78">(H61*H64)/1000</f>
        <v>0</v>
      </c>
      <c r="I67" s="277">
        <f t="shared" si="78"/>
        <v>0</v>
      </c>
      <c r="J67" s="277">
        <f t="shared" si="78"/>
        <v>0</v>
      </c>
      <c r="K67" s="277">
        <f t="shared" si="78"/>
        <v>0</v>
      </c>
      <c r="L67" s="277">
        <f t="shared" si="78"/>
        <v>0</v>
      </c>
      <c r="M67" s="277">
        <f t="shared" si="78"/>
        <v>0</v>
      </c>
      <c r="N67" s="277">
        <f t="shared" si="78"/>
        <v>0</v>
      </c>
      <c r="O67" s="277">
        <f t="shared" si="78"/>
        <v>0</v>
      </c>
      <c r="P67" s="277">
        <f t="shared" si="78"/>
        <v>0</v>
      </c>
      <c r="Q67" s="277">
        <f t="shared" si="78"/>
        <v>0</v>
      </c>
      <c r="R67" s="277">
        <f t="shared" si="78"/>
        <v>0</v>
      </c>
      <c r="S67" s="277">
        <f t="shared" si="78"/>
        <v>0</v>
      </c>
      <c r="T67" s="277">
        <f t="shared" si="78"/>
        <v>0</v>
      </c>
      <c r="U67" s="277">
        <f t="shared" si="78"/>
        <v>0</v>
      </c>
      <c r="V67" s="277">
        <f t="shared" si="78"/>
        <v>0</v>
      </c>
      <c r="W67" s="277">
        <f t="shared" si="78"/>
        <v>0</v>
      </c>
      <c r="X67" s="277">
        <f t="shared" si="78"/>
        <v>0</v>
      </c>
      <c r="Y67" s="277">
        <f t="shared" si="78"/>
        <v>0</v>
      </c>
      <c r="Z67" s="277">
        <f t="shared" si="78"/>
        <v>0</v>
      </c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7"/>
      <c r="DB67" s="277"/>
      <c r="DC67" s="277">
        <f>(DC61*DC64)/1000</f>
        <v>0</v>
      </c>
    </row>
    <row r="68" spans="2:107" ht="15" hidden="1" customHeight="1" x14ac:dyDescent="0.25">
      <c r="B68" s="259">
        <v>38</v>
      </c>
      <c r="C68" s="264" t="s">
        <v>4260</v>
      </c>
      <c r="D68" s="264"/>
      <c r="E68" s="265" t="s">
        <v>3912</v>
      </c>
      <c r="F68" s="276" t="s">
        <v>4261</v>
      </c>
      <c r="G68" s="278">
        <f t="shared" ref="G68:Z68" si="79">IF(OR(G18=0,G67=0),0,(G67-G18)/G18)</f>
        <v>0</v>
      </c>
      <c r="H68" s="279">
        <f t="shared" si="79"/>
        <v>0</v>
      </c>
      <c r="I68" s="279">
        <f t="shared" si="79"/>
        <v>0</v>
      </c>
      <c r="J68" s="279">
        <f t="shared" si="79"/>
        <v>0</v>
      </c>
      <c r="K68" s="279">
        <f t="shared" si="79"/>
        <v>0</v>
      </c>
      <c r="L68" s="279">
        <f t="shared" si="79"/>
        <v>0</v>
      </c>
      <c r="M68" s="279">
        <f t="shared" si="79"/>
        <v>0</v>
      </c>
      <c r="N68" s="279">
        <f t="shared" si="79"/>
        <v>0</v>
      </c>
      <c r="O68" s="279">
        <f t="shared" si="79"/>
        <v>0</v>
      </c>
      <c r="P68" s="279">
        <f t="shared" si="79"/>
        <v>0</v>
      </c>
      <c r="Q68" s="279">
        <f t="shared" si="79"/>
        <v>0</v>
      </c>
      <c r="R68" s="279">
        <f t="shared" si="79"/>
        <v>0</v>
      </c>
      <c r="S68" s="279">
        <f t="shared" si="79"/>
        <v>0</v>
      </c>
      <c r="T68" s="279">
        <f t="shared" si="79"/>
        <v>0</v>
      </c>
      <c r="U68" s="279">
        <f t="shared" si="79"/>
        <v>0</v>
      </c>
      <c r="V68" s="279">
        <f t="shared" si="79"/>
        <v>0</v>
      </c>
      <c r="W68" s="279">
        <f t="shared" si="79"/>
        <v>0</v>
      </c>
      <c r="X68" s="279">
        <f t="shared" si="79"/>
        <v>0</v>
      </c>
      <c r="Y68" s="279">
        <f t="shared" si="79"/>
        <v>0</v>
      </c>
      <c r="Z68" s="279">
        <f t="shared" si="79"/>
        <v>0</v>
      </c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>
        <f>IF(OR(DC18=0,DC67=0),0,(DC67-DC18)/DC18)</f>
        <v>0</v>
      </c>
    </row>
    <row r="69" spans="2:107" ht="15" hidden="1" customHeight="1" x14ac:dyDescent="0.25">
      <c r="B69" s="259">
        <v>39</v>
      </c>
      <c r="C69" s="264" t="s">
        <v>4228</v>
      </c>
      <c r="D69" s="264"/>
      <c r="E69" s="265" t="s">
        <v>3857</v>
      </c>
      <c r="F69" s="276" t="s">
        <v>4229</v>
      </c>
      <c r="G69" s="271">
        <f>SUM(H69:DC69)</f>
        <v>0</v>
      </c>
      <c r="H69" s="277">
        <f t="shared" ref="H69:Z69" si="80">H58*H66</f>
        <v>0</v>
      </c>
      <c r="I69" s="277">
        <f t="shared" si="80"/>
        <v>0</v>
      </c>
      <c r="J69" s="277">
        <f t="shared" si="80"/>
        <v>0</v>
      </c>
      <c r="K69" s="277">
        <f t="shared" si="80"/>
        <v>0</v>
      </c>
      <c r="L69" s="277">
        <f t="shared" si="80"/>
        <v>0</v>
      </c>
      <c r="M69" s="277">
        <f t="shared" si="80"/>
        <v>0</v>
      </c>
      <c r="N69" s="277">
        <f t="shared" si="80"/>
        <v>0</v>
      </c>
      <c r="O69" s="277">
        <f t="shared" si="80"/>
        <v>0</v>
      </c>
      <c r="P69" s="277">
        <f t="shared" si="80"/>
        <v>0</v>
      </c>
      <c r="Q69" s="277">
        <f t="shared" si="80"/>
        <v>0</v>
      </c>
      <c r="R69" s="277">
        <f t="shared" si="80"/>
        <v>0</v>
      </c>
      <c r="S69" s="277">
        <f t="shared" si="80"/>
        <v>0</v>
      </c>
      <c r="T69" s="277">
        <f t="shared" si="80"/>
        <v>0</v>
      </c>
      <c r="U69" s="277">
        <f t="shared" si="80"/>
        <v>0</v>
      </c>
      <c r="V69" s="277">
        <f t="shared" si="80"/>
        <v>0</v>
      </c>
      <c r="W69" s="277">
        <f t="shared" si="80"/>
        <v>0</v>
      </c>
      <c r="X69" s="277">
        <f t="shared" si="80"/>
        <v>0</v>
      </c>
      <c r="Y69" s="277">
        <f t="shared" si="80"/>
        <v>0</v>
      </c>
      <c r="Z69" s="277">
        <f t="shared" si="80"/>
        <v>0</v>
      </c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/>
      <c r="DC69" s="277">
        <f>DC58*DC66</f>
        <v>0</v>
      </c>
    </row>
    <row r="70" spans="2:107" ht="15" hidden="1" customHeight="1" x14ac:dyDescent="0.25">
      <c r="B70" s="259">
        <v>40</v>
      </c>
      <c r="C70" s="264" t="s">
        <v>4262</v>
      </c>
      <c r="D70" s="264"/>
      <c r="E70" s="265" t="s">
        <v>3912</v>
      </c>
      <c r="F70" s="276" t="s">
        <v>4263</v>
      </c>
      <c r="G70" s="278">
        <f t="shared" ref="G70:Z70" si="81">IF(OR(G19=0,G69=0),0,(G69-G19)/G19)</f>
        <v>0</v>
      </c>
      <c r="H70" s="279">
        <f t="shared" si="81"/>
        <v>0</v>
      </c>
      <c r="I70" s="279">
        <f t="shared" si="81"/>
        <v>0</v>
      </c>
      <c r="J70" s="279">
        <f t="shared" si="81"/>
        <v>0</v>
      </c>
      <c r="K70" s="279">
        <f t="shared" si="81"/>
        <v>0</v>
      </c>
      <c r="L70" s="279">
        <f t="shared" si="81"/>
        <v>0</v>
      </c>
      <c r="M70" s="279">
        <f t="shared" si="81"/>
        <v>0</v>
      </c>
      <c r="N70" s="279">
        <f t="shared" si="81"/>
        <v>0</v>
      </c>
      <c r="O70" s="279">
        <f t="shared" si="81"/>
        <v>0</v>
      </c>
      <c r="P70" s="279">
        <f t="shared" si="81"/>
        <v>0</v>
      </c>
      <c r="Q70" s="279">
        <f t="shared" si="81"/>
        <v>0</v>
      </c>
      <c r="R70" s="279">
        <f t="shared" si="81"/>
        <v>0</v>
      </c>
      <c r="S70" s="279">
        <f t="shared" si="81"/>
        <v>0</v>
      </c>
      <c r="T70" s="279">
        <f t="shared" si="81"/>
        <v>0</v>
      </c>
      <c r="U70" s="279">
        <f t="shared" si="81"/>
        <v>0</v>
      </c>
      <c r="V70" s="279">
        <f t="shared" si="81"/>
        <v>0</v>
      </c>
      <c r="W70" s="279">
        <f t="shared" si="81"/>
        <v>0</v>
      </c>
      <c r="X70" s="279">
        <f t="shared" si="81"/>
        <v>0</v>
      </c>
      <c r="Y70" s="279">
        <f t="shared" si="81"/>
        <v>0</v>
      </c>
      <c r="Z70" s="279">
        <f t="shared" si="81"/>
        <v>0</v>
      </c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79"/>
      <c r="BU70" s="279"/>
      <c r="BV70" s="279"/>
      <c r="BW70" s="279"/>
      <c r="BX70" s="279"/>
      <c r="BY70" s="279"/>
      <c r="BZ70" s="279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>
        <f>IF(OR(DC19=0,DC69=0),0,(DC69-DC19)/DC19)</f>
        <v>0</v>
      </c>
    </row>
    <row r="71" spans="2:107" ht="15" hidden="1" customHeight="1" x14ac:dyDescent="0.25"/>
    <row r="72" spans="2:107" ht="15" hidden="1" customHeight="1" x14ac:dyDescent="0.25">
      <c r="B72" s="858" t="s">
        <v>4849</v>
      </c>
      <c r="C72" s="859"/>
      <c r="D72" s="859"/>
      <c r="E72" s="859"/>
      <c r="F72" s="859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</row>
    <row r="73" spans="2:107" s="103" customFormat="1" ht="15" hidden="1" customHeight="1" x14ac:dyDescent="0.25">
      <c r="B73" s="259"/>
      <c r="C73" s="260"/>
      <c r="D73" s="260"/>
      <c r="E73" s="260"/>
      <c r="F73" s="261"/>
      <c r="G73" s="262" t="s">
        <v>76</v>
      </c>
      <c r="H73" s="263" t="s">
        <v>4739</v>
      </c>
      <c r="I73" s="263" t="s">
        <v>4740</v>
      </c>
      <c r="J73" s="263" t="s">
        <v>4741</v>
      </c>
      <c r="K73" s="263" t="s">
        <v>4742</v>
      </c>
      <c r="L73" s="263" t="s">
        <v>4743</v>
      </c>
      <c r="M73" s="263" t="s">
        <v>4744</v>
      </c>
      <c r="N73" s="263" t="s">
        <v>4745</v>
      </c>
      <c r="O73" s="263" t="s">
        <v>4746</v>
      </c>
      <c r="P73" s="263" t="s">
        <v>4747</v>
      </c>
      <c r="Q73" s="263" t="s">
        <v>4748</v>
      </c>
      <c r="R73" s="263" t="s">
        <v>4749</v>
      </c>
      <c r="S73" s="263" t="s">
        <v>4750</v>
      </c>
      <c r="T73" s="263" t="s">
        <v>4751</v>
      </c>
      <c r="U73" s="263" t="s">
        <v>4752</v>
      </c>
      <c r="V73" s="263" t="s">
        <v>4753</v>
      </c>
      <c r="W73" s="263" t="s">
        <v>4754</v>
      </c>
      <c r="X73" s="263" t="s">
        <v>4755</v>
      </c>
      <c r="Y73" s="263" t="s">
        <v>4756</v>
      </c>
      <c r="Z73" s="263" t="s">
        <v>4757</v>
      </c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 t="s">
        <v>4758</v>
      </c>
    </row>
    <row r="74" spans="2:107" ht="15" hidden="1" customHeight="1" x14ac:dyDescent="0.25">
      <c r="B74" s="259">
        <v>41</v>
      </c>
      <c r="C74" s="264" t="s">
        <v>4196</v>
      </c>
      <c r="D74" s="264"/>
      <c r="E74" s="265"/>
      <c r="F74" s="266"/>
      <c r="G74" s="267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29"/>
      <c r="CR74" s="229"/>
      <c r="CS74" s="229"/>
      <c r="CT74" s="229"/>
      <c r="CU74" s="229"/>
      <c r="CV74" s="229"/>
      <c r="CW74" s="229"/>
      <c r="CX74" s="229"/>
      <c r="CY74" s="229"/>
      <c r="CZ74" s="229"/>
      <c r="DA74" s="229"/>
      <c r="DB74" s="229"/>
      <c r="DC74" s="229"/>
    </row>
    <row r="75" spans="2:107" ht="15" hidden="1" customHeight="1" x14ac:dyDescent="0.25">
      <c r="B75" s="259">
        <v>42</v>
      </c>
      <c r="C75" s="264" t="s">
        <v>4256</v>
      </c>
      <c r="D75" s="264"/>
      <c r="E75" s="265"/>
      <c r="F75" s="268" t="s">
        <v>4265</v>
      </c>
      <c r="G75" s="269">
        <f>SUM(H75:DC75)</f>
        <v>0</v>
      </c>
      <c r="H75" s="270"/>
      <c r="I75" s="270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</row>
    <row r="76" spans="2:107" ht="15" hidden="1" customHeight="1" x14ac:dyDescent="0.25">
      <c r="B76" s="902">
        <v>43</v>
      </c>
      <c r="C76" s="264" t="s">
        <v>4473</v>
      </c>
      <c r="D76" s="264"/>
      <c r="E76" s="265" t="s">
        <v>3857</v>
      </c>
      <c r="F76" s="268" t="s">
        <v>4483</v>
      </c>
      <c r="G76" s="271">
        <f>SUM(H76:DC76)</f>
        <v>0</v>
      </c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</row>
    <row r="77" spans="2:107" ht="15" hidden="1" customHeight="1" x14ac:dyDescent="0.25">
      <c r="B77" s="760"/>
      <c r="C77" s="264" t="s">
        <v>4331</v>
      </c>
      <c r="D77" s="264"/>
      <c r="E77" s="265" t="s">
        <v>3857</v>
      </c>
      <c r="F77" s="268" t="s">
        <v>4464</v>
      </c>
      <c r="G77" s="271">
        <f>SUM(H77:DC77)</f>
        <v>0</v>
      </c>
      <c r="H77" s="272">
        <f t="shared" ref="H77:Z77" si="82">H75*H76</f>
        <v>0</v>
      </c>
      <c r="I77" s="272">
        <f t="shared" si="82"/>
        <v>0</v>
      </c>
      <c r="J77" s="272">
        <f t="shared" si="82"/>
        <v>0</v>
      </c>
      <c r="K77" s="272">
        <f t="shared" si="82"/>
        <v>0</v>
      </c>
      <c r="L77" s="272">
        <f t="shared" si="82"/>
        <v>0</v>
      </c>
      <c r="M77" s="272">
        <f t="shared" si="82"/>
        <v>0</v>
      </c>
      <c r="N77" s="272">
        <f t="shared" si="82"/>
        <v>0</v>
      </c>
      <c r="O77" s="272">
        <f t="shared" si="82"/>
        <v>0</v>
      </c>
      <c r="P77" s="272">
        <f t="shared" si="82"/>
        <v>0</v>
      </c>
      <c r="Q77" s="272">
        <f t="shared" si="82"/>
        <v>0</v>
      </c>
      <c r="R77" s="272">
        <f t="shared" si="82"/>
        <v>0</v>
      </c>
      <c r="S77" s="272">
        <f t="shared" si="82"/>
        <v>0</v>
      </c>
      <c r="T77" s="272">
        <f t="shared" si="82"/>
        <v>0</v>
      </c>
      <c r="U77" s="272">
        <f t="shared" si="82"/>
        <v>0</v>
      </c>
      <c r="V77" s="272">
        <f t="shared" si="82"/>
        <v>0</v>
      </c>
      <c r="W77" s="272">
        <f t="shared" si="82"/>
        <v>0</v>
      </c>
      <c r="X77" s="272">
        <f t="shared" si="82"/>
        <v>0</v>
      </c>
      <c r="Y77" s="272">
        <f t="shared" si="82"/>
        <v>0</v>
      </c>
      <c r="Z77" s="272">
        <f t="shared" si="82"/>
        <v>0</v>
      </c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>
        <f>DC75*DC76</f>
        <v>0</v>
      </c>
    </row>
    <row r="78" spans="2:107" ht="15" hidden="1" customHeight="1" x14ac:dyDescent="0.25">
      <c r="B78" s="902">
        <v>44</v>
      </c>
      <c r="C78" s="264" t="s">
        <v>4475</v>
      </c>
      <c r="D78" s="264"/>
      <c r="E78" s="265"/>
      <c r="F78" s="268" t="s">
        <v>4484</v>
      </c>
      <c r="G78" s="271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</row>
    <row r="79" spans="2:107" ht="15" hidden="1" customHeight="1" x14ac:dyDescent="0.25">
      <c r="B79" s="758"/>
      <c r="C79" s="264" t="s">
        <v>4477</v>
      </c>
      <c r="D79" s="264"/>
      <c r="E79" s="265"/>
      <c r="F79" s="268" t="s">
        <v>4485</v>
      </c>
      <c r="G79" s="271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</row>
    <row r="80" spans="2:107" ht="15" hidden="1" customHeight="1" x14ac:dyDescent="0.25">
      <c r="B80" s="760"/>
      <c r="C80" s="264" t="s">
        <v>4479</v>
      </c>
      <c r="D80" s="264"/>
      <c r="E80" s="265" t="s">
        <v>4480</v>
      </c>
      <c r="F80" s="268" t="s">
        <v>4486</v>
      </c>
      <c r="G80" s="271">
        <f>SUM(H80:DC80)</f>
        <v>0</v>
      </c>
      <c r="H80" s="272">
        <f t="shared" ref="H80:Z80" si="83">H75*H78*H79</f>
        <v>0</v>
      </c>
      <c r="I80" s="272">
        <f t="shared" si="83"/>
        <v>0</v>
      </c>
      <c r="J80" s="272">
        <f t="shared" si="83"/>
        <v>0</v>
      </c>
      <c r="K80" s="272">
        <f t="shared" si="83"/>
        <v>0</v>
      </c>
      <c r="L80" s="272">
        <f t="shared" si="83"/>
        <v>0</v>
      </c>
      <c r="M80" s="272">
        <f t="shared" si="83"/>
        <v>0</v>
      </c>
      <c r="N80" s="272">
        <f t="shared" si="83"/>
        <v>0</v>
      </c>
      <c r="O80" s="272">
        <f t="shared" si="83"/>
        <v>0</v>
      </c>
      <c r="P80" s="272">
        <f t="shared" si="83"/>
        <v>0</v>
      </c>
      <c r="Q80" s="272">
        <f t="shared" si="83"/>
        <v>0</v>
      </c>
      <c r="R80" s="272">
        <f t="shared" si="83"/>
        <v>0</v>
      </c>
      <c r="S80" s="272">
        <f t="shared" si="83"/>
        <v>0</v>
      </c>
      <c r="T80" s="272">
        <f t="shared" si="83"/>
        <v>0</v>
      </c>
      <c r="U80" s="272">
        <f t="shared" si="83"/>
        <v>0</v>
      </c>
      <c r="V80" s="272">
        <f t="shared" si="83"/>
        <v>0</v>
      </c>
      <c r="W80" s="272">
        <f t="shared" si="83"/>
        <v>0</v>
      </c>
      <c r="X80" s="272">
        <f t="shared" si="83"/>
        <v>0</v>
      </c>
      <c r="Y80" s="272">
        <f t="shared" si="83"/>
        <v>0</v>
      </c>
      <c r="Z80" s="272">
        <f t="shared" si="83"/>
        <v>0</v>
      </c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2"/>
      <c r="CV80" s="272"/>
      <c r="CW80" s="272"/>
      <c r="CX80" s="272"/>
      <c r="CY80" s="272"/>
      <c r="CZ80" s="272"/>
      <c r="DA80" s="272"/>
      <c r="DB80" s="272"/>
      <c r="DC80" s="272">
        <f>DC75*DC78*DC79</f>
        <v>0</v>
      </c>
    </row>
    <row r="81" spans="2:107" ht="15" hidden="1" customHeight="1" x14ac:dyDescent="0.25">
      <c r="B81" s="902">
        <v>45</v>
      </c>
      <c r="C81" s="264" t="s">
        <v>4207</v>
      </c>
      <c r="D81" s="264"/>
      <c r="E81" s="273" t="s">
        <v>4208</v>
      </c>
      <c r="F81" s="276"/>
      <c r="G81" s="274" t="str">
        <f>IF(COUNTA(H81:DC81)=0,"",IF(OR(LARGE(H81:DC81,1)&gt;24,SMALL(H81:DC81,1)&lt;0),"ERRO",""))</f>
        <v/>
      </c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</row>
    <row r="82" spans="2:107" ht="15" hidden="1" customHeight="1" x14ac:dyDescent="0.25">
      <c r="B82" s="758"/>
      <c r="C82" s="275" t="s">
        <v>4209</v>
      </c>
      <c r="D82" s="275"/>
      <c r="E82" s="552" t="s">
        <v>4210</v>
      </c>
      <c r="F82" s="276"/>
      <c r="G82" s="274" t="str">
        <f>IF(COUNTA(H82:DC82)=0,"",IF(OR(LARGE(H82:DC82,1)&gt;365,SMALL(H82:DC82,1)&lt;0),"ERRO",""))</f>
        <v/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</row>
    <row r="83" spans="2:107" ht="15" hidden="1" customHeight="1" x14ac:dyDescent="0.25">
      <c r="B83" s="760"/>
      <c r="C83" s="264" t="s">
        <v>4211</v>
      </c>
      <c r="D83" s="264"/>
      <c r="E83" s="265" t="s">
        <v>4212</v>
      </c>
      <c r="F83" s="276" t="s">
        <v>4234</v>
      </c>
      <c r="G83" s="274" t="str">
        <f>IF(COUNTA(H83:DC83)=0,"",IF(OR(LARGE(H83:DC83,1)&gt;8760,SMALL(H83:DC83,1)&lt;0),"ERRO",""))</f>
        <v/>
      </c>
      <c r="H83" s="272">
        <f t="shared" ref="H83:Z83" si="84">H81*H82</f>
        <v>0</v>
      </c>
      <c r="I83" s="272">
        <f t="shared" si="84"/>
        <v>0</v>
      </c>
      <c r="J83" s="272">
        <f t="shared" si="84"/>
        <v>0</v>
      </c>
      <c r="K83" s="272">
        <f t="shared" si="84"/>
        <v>0</v>
      </c>
      <c r="L83" s="272">
        <f t="shared" si="84"/>
        <v>0</v>
      </c>
      <c r="M83" s="272">
        <f t="shared" si="84"/>
        <v>0</v>
      </c>
      <c r="N83" s="272">
        <f t="shared" si="84"/>
        <v>0</v>
      </c>
      <c r="O83" s="272">
        <f t="shared" si="84"/>
        <v>0</v>
      </c>
      <c r="P83" s="272">
        <f t="shared" si="84"/>
        <v>0</v>
      </c>
      <c r="Q83" s="272">
        <f t="shared" si="84"/>
        <v>0</v>
      </c>
      <c r="R83" s="272">
        <f t="shared" si="84"/>
        <v>0</v>
      </c>
      <c r="S83" s="272">
        <f t="shared" si="84"/>
        <v>0</v>
      </c>
      <c r="T83" s="272">
        <f t="shared" si="84"/>
        <v>0</v>
      </c>
      <c r="U83" s="272">
        <f t="shared" si="84"/>
        <v>0</v>
      </c>
      <c r="V83" s="272">
        <f t="shared" si="84"/>
        <v>0</v>
      </c>
      <c r="W83" s="272">
        <f t="shared" si="84"/>
        <v>0</v>
      </c>
      <c r="X83" s="272">
        <f t="shared" si="84"/>
        <v>0</v>
      </c>
      <c r="Y83" s="272">
        <f t="shared" si="84"/>
        <v>0</v>
      </c>
      <c r="Z83" s="272">
        <f t="shared" si="84"/>
        <v>0</v>
      </c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2"/>
      <c r="CF83" s="272"/>
      <c r="CG83" s="272"/>
      <c r="CH83" s="272"/>
      <c r="CI83" s="272"/>
      <c r="CJ83" s="272"/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>
        <f>DC81*DC82</f>
        <v>0</v>
      </c>
    </row>
    <row r="84" spans="2:107" ht="15" hidden="1" customHeight="1" x14ac:dyDescent="0.25">
      <c r="B84" s="902">
        <v>46</v>
      </c>
      <c r="C84" s="264" t="s">
        <v>4222</v>
      </c>
      <c r="D84" s="264"/>
      <c r="E84" s="265" t="s">
        <v>3857</v>
      </c>
      <c r="F84" s="276" t="s">
        <v>4238</v>
      </c>
      <c r="G84" s="550">
        <f>SUM(H84:DC84)</f>
        <v>0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</row>
    <row r="85" spans="2:107" ht="15" hidden="1" customHeight="1" x14ac:dyDescent="0.25">
      <c r="B85" s="760"/>
      <c r="C85" s="264" t="s">
        <v>4224</v>
      </c>
      <c r="D85" s="264"/>
      <c r="E85" s="265"/>
      <c r="F85" s="276" t="s">
        <v>4239</v>
      </c>
      <c r="G85" s="274" t="str">
        <f>IF(COUNTA(H85:DC85)=0,"",IF(OR(LARGE(H85:DC85,1)&gt;1,SMALL(H85:DC85,1)&lt;0),"ERRO",""))</f>
        <v/>
      </c>
      <c r="H85" s="272">
        <f t="shared" ref="H85:Z85" si="85">IF(H77=0,0,H84/H77)</f>
        <v>0</v>
      </c>
      <c r="I85" s="272">
        <f t="shared" si="85"/>
        <v>0</v>
      </c>
      <c r="J85" s="272">
        <f t="shared" si="85"/>
        <v>0</v>
      </c>
      <c r="K85" s="272">
        <f t="shared" si="85"/>
        <v>0</v>
      </c>
      <c r="L85" s="272">
        <f t="shared" si="85"/>
        <v>0</v>
      </c>
      <c r="M85" s="272">
        <f t="shared" si="85"/>
        <v>0</v>
      </c>
      <c r="N85" s="272">
        <f t="shared" si="85"/>
        <v>0</v>
      </c>
      <c r="O85" s="272">
        <f t="shared" si="85"/>
        <v>0</v>
      </c>
      <c r="P85" s="272">
        <f t="shared" si="85"/>
        <v>0</v>
      </c>
      <c r="Q85" s="272">
        <f t="shared" si="85"/>
        <v>0</v>
      </c>
      <c r="R85" s="272">
        <f t="shared" si="85"/>
        <v>0</v>
      </c>
      <c r="S85" s="272">
        <f t="shared" si="85"/>
        <v>0</v>
      </c>
      <c r="T85" s="272">
        <f t="shared" si="85"/>
        <v>0</v>
      </c>
      <c r="U85" s="272">
        <f t="shared" si="85"/>
        <v>0</v>
      </c>
      <c r="V85" s="272">
        <f t="shared" si="85"/>
        <v>0</v>
      </c>
      <c r="W85" s="272">
        <f t="shared" si="85"/>
        <v>0</v>
      </c>
      <c r="X85" s="272">
        <f t="shared" si="85"/>
        <v>0</v>
      </c>
      <c r="Y85" s="272">
        <f t="shared" si="85"/>
        <v>0</v>
      </c>
      <c r="Z85" s="272">
        <f t="shared" si="85"/>
        <v>0</v>
      </c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>
        <f>IF(DC77=0,0,DC84/DC77)</f>
        <v>0</v>
      </c>
    </row>
    <row r="86" spans="2:107" ht="15" hidden="1" customHeight="1" x14ac:dyDescent="0.25">
      <c r="B86" s="259">
        <v>47</v>
      </c>
      <c r="C86" s="264" t="s">
        <v>4226</v>
      </c>
      <c r="D86" s="264"/>
      <c r="E86" s="265" t="s">
        <v>3854</v>
      </c>
      <c r="F86" s="276" t="s">
        <v>4240</v>
      </c>
      <c r="G86" s="271">
        <f>SUM(H86:DC86)</f>
        <v>0</v>
      </c>
      <c r="H86" s="277">
        <f t="shared" ref="H86:Z86" si="86">(H80*H83)/1000</f>
        <v>0</v>
      </c>
      <c r="I86" s="277">
        <f t="shared" si="86"/>
        <v>0</v>
      </c>
      <c r="J86" s="277">
        <f t="shared" si="86"/>
        <v>0</v>
      </c>
      <c r="K86" s="277">
        <f t="shared" si="86"/>
        <v>0</v>
      </c>
      <c r="L86" s="277">
        <f t="shared" si="86"/>
        <v>0</v>
      </c>
      <c r="M86" s="277">
        <f t="shared" si="86"/>
        <v>0</v>
      </c>
      <c r="N86" s="277">
        <f t="shared" si="86"/>
        <v>0</v>
      </c>
      <c r="O86" s="277">
        <f t="shared" si="86"/>
        <v>0</v>
      </c>
      <c r="P86" s="277">
        <f t="shared" si="86"/>
        <v>0</v>
      </c>
      <c r="Q86" s="277">
        <f t="shared" si="86"/>
        <v>0</v>
      </c>
      <c r="R86" s="277">
        <f t="shared" si="86"/>
        <v>0</v>
      </c>
      <c r="S86" s="277">
        <f t="shared" si="86"/>
        <v>0</v>
      </c>
      <c r="T86" s="277">
        <f t="shared" si="86"/>
        <v>0</v>
      </c>
      <c r="U86" s="277">
        <f t="shared" si="86"/>
        <v>0</v>
      </c>
      <c r="V86" s="277">
        <f t="shared" si="86"/>
        <v>0</v>
      </c>
      <c r="W86" s="277">
        <f t="shared" si="86"/>
        <v>0</v>
      </c>
      <c r="X86" s="277">
        <f t="shared" si="86"/>
        <v>0</v>
      </c>
      <c r="Y86" s="277">
        <f t="shared" si="86"/>
        <v>0</v>
      </c>
      <c r="Z86" s="277">
        <f t="shared" si="86"/>
        <v>0</v>
      </c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7"/>
      <c r="DB86" s="277"/>
      <c r="DC86" s="277">
        <f>(DC80*DC83)/1000</f>
        <v>0</v>
      </c>
    </row>
    <row r="87" spans="2:107" ht="15" hidden="1" customHeight="1" x14ac:dyDescent="0.25">
      <c r="B87" s="259">
        <v>48</v>
      </c>
      <c r="C87" s="264" t="s">
        <v>4260</v>
      </c>
      <c r="D87" s="264"/>
      <c r="E87" s="265" t="s">
        <v>3912</v>
      </c>
      <c r="F87" s="276" t="s">
        <v>4267</v>
      </c>
      <c r="G87" s="278">
        <f>IF(OR(G37=0,G86=0),0,(G86-G37)/G37)</f>
        <v>0</v>
      </c>
      <c r="H87" s="279">
        <f t="shared" ref="H87:Z87" si="87">IF(OR(H41=0,H86=0),0,(H86-H41)/H41)</f>
        <v>0</v>
      </c>
      <c r="I87" s="279">
        <f t="shared" si="87"/>
        <v>0</v>
      </c>
      <c r="J87" s="279">
        <f t="shared" si="87"/>
        <v>0</v>
      </c>
      <c r="K87" s="279">
        <f t="shared" si="87"/>
        <v>0</v>
      </c>
      <c r="L87" s="279">
        <f t="shared" si="87"/>
        <v>0</v>
      </c>
      <c r="M87" s="279">
        <f t="shared" si="87"/>
        <v>0</v>
      </c>
      <c r="N87" s="279">
        <f t="shared" si="87"/>
        <v>0</v>
      </c>
      <c r="O87" s="279">
        <f t="shared" si="87"/>
        <v>0</v>
      </c>
      <c r="P87" s="279">
        <f t="shared" si="87"/>
        <v>0</v>
      </c>
      <c r="Q87" s="279">
        <f t="shared" si="87"/>
        <v>0</v>
      </c>
      <c r="R87" s="279">
        <f t="shared" si="87"/>
        <v>0</v>
      </c>
      <c r="S87" s="279">
        <f t="shared" si="87"/>
        <v>0</v>
      </c>
      <c r="T87" s="279">
        <f t="shared" si="87"/>
        <v>0</v>
      </c>
      <c r="U87" s="279">
        <f t="shared" si="87"/>
        <v>0</v>
      </c>
      <c r="V87" s="279">
        <f t="shared" si="87"/>
        <v>0</v>
      </c>
      <c r="W87" s="279">
        <f t="shared" si="87"/>
        <v>0</v>
      </c>
      <c r="X87" s="279">
        <f t="shared" si="87"/>
        <v>0</v>
      </c>
      <c r="Y87" s="279">
        <f t="shared" si="87"/>
        <v>0</v>
      </c>
      <c r="Z87" s="279">
        <f t="shared" si="87"/>
        <v>0</v>
      </c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  <c r="BQ87" s="279"/>
      <c r="BR87" s="279"/>
      <c r="BS87" s="279"/>
      <c r="BT87" s="279"/>
      <c r="BU87" s="279"/>
      <c r="BV87" s="279"/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  <c r="DB87" s="279"/>
      <c r="DC87" s="279">
        <f>IF(OR(DC41=0,DC86=0),0,(DC86-DC41)/DC41)</f>
        <v>0</v>
      </c>
    </row>
    <row r="88" spans="2:107" ht="15" hidden="1" customHeight="1" x14ac:dyDescent="0.25">
      <c r="B88" s="259">
        <v>49</v>
      </c>
      <c r="C88" s="264" t="s">
        <v>4228</v>
      </c>
      <c r="D88" s="264"/>
      <c r="E88" s="265" t="s">
        <v>3857</v>
      </c>
      <c r="F88" s="276" t="s">
        <v>4241</v>
      </c>
      <c r="G88" s="271">
        <f>SUM(H88:DC88)</f>
        <v>0</v>
      </c>
      <c r="H88" s="277">
        <f t="shared" ref="H88:Z88" si="88">H77*H85</f>
        <v>0</v>
      </c>
      <c r="I88" s="277">
        <f t="shared" si="88"/>
        <v>0</v>
      </c>
      <c r="J88" s="277">
        <f t="shared" si="88"/>
        <v>0</v>
      </c>
      <c r="K88" s="277">
        <f t="shared" si="88"/>
        <v>0</v>
      </c>
      <c r="L88" s="277">
        <f t="shared" si="88"/>
        <v>0</v>
      </c>
      <c r="M88" s="277">
        <f t="shared" si="88"/>
        <v>0</v>
      </c>
      <c r="N88" s="277">
        <f t="shared" si="88"/>
        <v>0</v>
      </c>
      <c r="O88" s="277">
        <f t="shared" si="88"/>
        <v>0</v>
      </c>
      <c r="P88" s="277">
        <f t="shared" si="88"/>
        <v>0</v>
      </c>
      <c r="Q88" s="277">
        <f t="shared" si="88"/>
        <v>0</v>
      </c>
      <c r="R88" s="277">
        <f t="shared" si="88"/>
        <v>0</v>
      </c>
      <c r="S88" s="277">
        <f t="shared" si="88"/>
        <v>0</v>
      </c>
      <c r="T88" s="277">
        <f t="shared" si="88"/>
        <v>0</v>
      </c>
      <c r="U88" s="277">
        <f t="shared" si="88"/>
        <v>0</v>
      </c>
      <c r="V88" s="277">
        <f t="shared" si="88"/>
        <v>0</v>
      </c>
      <c r="W88" s="277">
        <f t="shared" si="88"/>
        <v>0</v>
      </c>
      <c r="X88" s="277">
        <f t="shared" si="88"/>
        <v>0</v>
      </c>
      <c r="Y88" s="277">
        <f t="shared" si="88"/>
        <v>0</v>
      </c>
      <c r="Z88" s="277">
        <f t="shared" si="88"/>
        <v>0</v>
      </c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7"/>
      <c r="DB88" s="277"/>
      <c r="DC88" s="277">
        <f>DC77*DC85</f>
        <v>0</v>
      </c>
    </row>
    <row r="89" spans="2:107" ht="15" hidden="1" customHeight="1" x14ac:dyDescent="0.25">
      <c r="B89" s="259">
        <v>50</v>
      </c>
      <c r="C89" s="264" t="s">
        <v>4262</v>
      </c>
      <c r="D89" s="264"/>
      <c r="E89" s="265" t="s">
        <v>3912</v>
      </c>
      <c r="F89" s="276" t="s">
        <v>4268</v>
      </c>
      <c r="G89" s="278">
        <f>IF(OR(G38=0,G88=0),0,(G88-G38)/G38)</f>
        <v>0</v>
      </c>
      <c r="H89" s="279">
        <f t="shared" ref="H89:Z89" si="89">IF(OR(H42=0,H88=0),0,(H88-H42)/H42)</f>
        <v>0</v>
      </c>
      <c r="I89" s="279">
        <f t="shared" si="89"/>
        <v>0</v>
      </c>
      <c r="J89" s="279">
        <f t="shared" si="89"/>
        <v>0</v>
      </c>
      <c r="K89" s="279">
        <f t="shared" si="89"/>
        <v>0</v>
      </c>
      <c r="L89" s="279">
        <f t="shared" si="89"/>
        <v>0</v>
      </c>
      <c r="M89" s="279">
        <f t="shared" si="89"/>
        <v>0</v>
      </c>
      <c r="N89" s="279">
        <f t="shared" si="89"/>
        <v>0</v>
      </c>
      <c r="O89" s="279">
        <f t="shared" si="89"/>
        <v>0</v>
      </c>
      <c r="P89" s="279">
        <f t="shared" si="89"/>
        <v>0</v>
      </c>
      <c r="Q89" s="279">
        <f t="shared" si="89"/>
        <v>0</v>
      </c>
      <c r="R89" s="279">
        <f t="shared" si="89"/>
        <v>0</v>
      </c>
      <c r="S89" s="279">
        <f t="shared" si="89"/>
        <v>0</v>
      </c>
      <c r="T89" s="279">
        <f t="shared" si="89"/>
        <v>0</v>
      </c>
      <c r="U89" s="279">
        <f t="shared" si="89"/>
        <v>0</v>
      </c>
      <c r="V89" s="279">
        <f t="shared" si="89"/>
        <v>0</v>
      </c>
      <c r="W89" s="279">
        <f t="shared" si="89"/>
        <v>0</v>
      </c>
      <c r="X89" s="279">
        <f t="shared" si="89"/>
        <v>0</v>
      </c>
      <c r="Y89" s="279">
        <f t="shared" si="89"/>
        <v>0</v>
      </c>
      <c r="Z89" s="279">
        <f t="shared" si="89"/>
        <v>0</v>
      </c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  <c r="BN89" s="279"/>
      <c r="BO89" s="279"/>
      <c r="BP89" s="279"/>
      <c r="BQ89" s="279"/>
      <c r="BR89" s="279"/>
      <c r="BS89" s="279"/>
      <c r="BT89" s="279"/>
      <c r="BU89" s="279"/>
      <c r="BV89" s="279"/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79"/>
      <c r="CI89" s="279"/>
      <c r="CJ89" s="279"/>
      <c r="CK89" s="279"/>
      <c r="CL89" s="279"/>
      <c r="CM89" s="279"/>
      <c r="CN89" s="279"/>
      <c r="CO89" s="279"/>
      <c r="CP89" s="279"/>
      <c r="CQ89" s="279"/>
      <c r="CR89" s="279"/>
      <c r="CS89" s="279"/>
      <c r="CT89" s="279"/>
      <c r="CU89" s="279"/>
      <c r="CV89" s="279"/>
      <c r="CW89" s="279"/>
      <c r="CX89" s="279"/>
      <c r="CY89" s="279"/>
      <c r="CZ89" s="279"/>
      <c r="DA89" s="279"/>
      <c r="DB89" s="279"/>
      <c r="DC89" s="279">
        <f>IF(OR(DC42=0,DC88=0),0,(DC88-DC42)/DC42)</f>
        <v>0</v>
      </c>
    </row>
    <row r="90" spans="2:107" ht="15" hidden="1" customHeight="1" x14ac:dyDescent="0.25"/>
    <row r="91" spans="2:107" ht="15" hidden="1" customHeight="1" x14ac:dyDescent="0.25">
      <c r="B91" s="858" t="s">
        <v>4850</v>
      </c>
      <c r="C91" s="859"/>
      <c r="D91" s="859"/>
      <c r="E91" s="859"/>
      <c r="F91" s="859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58"/>
    </row>
    <row r="92" spans="2:107" s="103" customFormat="1" ht="15" hidden="1" customHeight="1" x14ac:dyDescent="0.25">
      <c r="B92" s="259"/>
      <c r="C92" s="260"/>
      <c r="D92" s="260"/>
      <c r="E92" s="260"/>
      <c r="F92" s="261"/>
      <c r="G92" s="262" t="s">
        <v>76</v>
      </c>
      <c r="H92" s="263" t="s">
        <v>4739</v>
      </c>
      <c r="I92" s="263" t="s">
        <v>4740</v>
      </c>
      <c r="J92" s="263" t="s">
        <v>4741</v>
      </c>
      <c r="K92" s="263" t="s">
        <v>4742</v>
      </c>
      <c r="L92" s="263" t="s">
        <v>4743</v>
      </c>
      <c r="M92" s="263" t="s">
        <v>4744</v>
      </c>
      <c r="N92" s="263" t="s">
        <v>4745</v>
      </c>
      <c r="O92" s="263" t="s">
        <v>4746</v>
      </c>
      <c r="P92" s="263" t="s">
        <v>4747</v>
      </c>
      <c r="Q92" s="263" t="s">
        <v>4748</v>
      </c>
      <c r="R92" s="263" t="s">
        <v>4749</v>
      </c>
      <c r="S92" s="263" t="s">
        <v>4750</v>
      </c>
      <c r="T92" s="263" t="s">
        <v>4751</v>
      </c>
      <c r="U92" s="263" t="s">
        <v>4752</v>
      </c>
      <c r="V92" s="263" t="s">
        <v>4753</v>
      </c>
      <c r="W92" s="263" t="s">
        <v>4754</v>
      </c>
      <c r="X92" s="263" t="s">
        <v>4755</v>
      </c>
      <c r="Y92" s="263" t="s">
        <v>4756</v>
      </c>
      <c r="Z92" s="263" t="s">
        <v>4757</v>
      </c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 t="s">
        <v>4758</v>
      </c>
    </row>
    <row r="93" spans="2:107" ht="15" hidden="1" customHeight="1" x14ac:dyDescent="0.25">
      <c r="B93" s="259">
        <v>51</v>
      </c>
      <c r="C93" s="280" t="s">
        <v>3901</v>
      </c>
      <c r="D93" s="280"/>
      <c r="E93" s="551" t="s">
        <v>3857</v>
      </c>
      <c r="F93" s="276" t="s">
        <v>4243</v>
      </c>
      <c r="G93" s="271">
        <f>SUM(H93:DC93)</f>
        <v>0</v>
      </c>
      <c r="H93" s="272">
        <f t="shared" ref="H93:Z93" si="90">H69-H88</f>
        <v>0</v>
      </c>
      <c r="I93" s="272">
        <f t="shared" si="90"/>
        <v>0</v>
      </c>
      <c r="J93" s="272">
        <f t="shared" si="90"/>
        <v>0</v>
      </c>
      <c r="K93" s="272">
        <f t="shared" si="90"/>
        <v>0</v>
      </c>
      <c r="L93" s="272">
        <f t="shared" si="90"/>
        <v>0</v>
      </c>
      <c r="M93" s="272">
        <f t="shared" si="90"/>
        <v>0</v>
      </c>
      <c r="N93" s="272">
        <f t="shared" si="90"/>
        <v>0</v>
      </c>
      <c r="O93" s="272">
        <f t="shared" si="90"/>
        <v>0</v>
      </c>
      <c r="P93" s="272">
        <f t="shared" si="90"/>
        <v>0</v>
      </c>
      <c r="Q93" s="272">
        <f t="shared" si="90"/>
        <v>0</v>
      </c>
      <c r="R93" s="272">
        <f t="shared" si="90"/>
        <v>0</v>
      </c>
      <c r="S93" s="272">
        <f t="shared" si="90"/>
        <v>0</v>
      </c>
      <c r="T93" s="272">
        <f t="shared" si="90"/>
        <v>0</v>
      </c>
      <c r="U93" s="272">
        <f t="shared" si="90"/>
        <v>0</v>
      </c>
      <c r="V93" s="272">
        <f t="shared" si="90"/>
        <v>0</v>
      </c>
      <c r="W93" s="272">
        <f t="shared" si="90"/>
        <v>0</v>
      </c>
      <c r="X93" s="272">
        <f t="shared" si="90"/>
        <v>0</v>
      </c>
      <c r="Y93" s="272">
        <f t="shared" si="90"/>
        <v>0</v>
      </c>
      <c r="Z93" s="272">
        <f t="shared" si="90"/>
        <v>0</v>
      </c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>
        <f>DC69-DC88</f>
        <v>0</v>
      </c>
    </row>
    <row r="94" spans="2:107" ht="15" hidden="1" customHeight="1" x14ac:dyDescent="0.25">
      <c r="B94" s="259">
        <v>52</v>
      </c>
      <c r="C94" s="281" t="s">
        <v>4244</v>
      </c>
      <c r="D94" s="282">
        <f>D43</f>
        <v>0</v>
      </c>
      <c r="E94" s="552" t="s">
        <v>3912</v>
      </c>
      <c r="F94" s="276" t="s">
        <v>4245</v>
      </c>
      <c r="G94" s="278">
        <f t="shared" ref="G94:Z94" si="91">IF(G69=0,0,G93/G69)</f>
        <v>0</v>
      </c>
      <c r="H94" s="279">
        <f t="shared" si="91"/>
        <v>0</v>
      </c>
      <c r="I94" s="279">
        <f t="shared" si="91"/>
        <v>0</v>
      </c>
      <c r="J94" s="279">
        <f t="shared" si="91"/>
        <v>0</v>
      </c>
      <c r="K94" s="279">
        <f t="shared" si="91"/>
        <v>0</v>
      </c>
      <c r="L94" s="279">
        <f t="shared" si="91"/>
        <v>0</v>
      </c>
      <c r="M94" s="279">
        <f t="shared" si="91"/>
        <v>0</v>
      </c>
      <c r="N94" s="279">
        <f t="shared" si="91"/>
        <v>0</v>
      </c>
      <c r="O94" s="279">
        <f t="shared" si="91"/>
        <v>0</v>
      </c>
      <c r="P94" s="279">
        <f t="shared" si="91"/>
        <v>0</v>
      </c>
      <c r="Q94" s="279">
        <f t="shared" si="91"/>
        <v>0</v>
      </c>
      <c r="R94" s="279">
        <f t="shared" si="91"/>
        <v>0</v>
      </c>
      <c r="S94" s="279">
        <f t="shared" si="91"/>
        <v>0</v>
      </c>
      <c r="T94" s="279">
        <f t="shared" si="91"/>
        <v>0</v>
      </c>
      <c r="U94" s="279">
        <f t="shared" si="91"/>
        <v>0</v>
      </c>
      <c r="V94" s="279">
        <f t="shared" si="91"/>
        <v>0</v>
      </c>
      <c r="W94" s="279">
        <f t="shared" si="91"/>
        <v>0</v>
      </c>
      <c r="X94" s="279">
        <f t="shared" si="91"/>
        <v>0</v>
      </c>
      <c r="Y94" s="279">
        <f t="shared" si="91"/>
        <v>0</v>
      </c>
      <c r="Z94" s="279">
        <f t="shared" si="91"/>
        <v>0</v>
      </c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79"/>
      <c r="BT94" s="279"/>
      <c r="BU94" s="279"/>
      <c r="BV94" s="279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79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79"/>
      <c r="DC94" s="279">
        <f>IF(DC69=0,0,DC93/DC69)</f>
        <v>0</v>
      </c>
    </row>
    <row r="95" spans="2:107" ht="15" hidden="1" customHeight="1" x14ac:dyDescent="0.25">
      <c r="B95" s="259">
        <v>53</v>
      </c>
      <c r="C95" s="280" t="s">
        <v>3900</v>
      </c>
      <c r="D95" s="280"/>
      <c r="E95" s="551" t="s">
        <v>3854</v>
      </c>
      <c r="F95" s="276" t="s">
        <v>4246</v>
      </c>
      <c r="G95" s="271">
        <f>SUM(H95:DC95)</f>
        <v>0</v>
      </c>
      <c r="H95" s="272">
        <f t="shared" ref="H95:Z95" si="92">H67-H86</f>
        <v>0</v>
      </c>
      <c r="I95" s="272">
        <f t="shared" si="92"/>
        <v>0</v>
      </c>
      <c r="J95" s="272">
        <f t="shared" si="92"/>
        <v>0</v>
      </c>
      <c r="K95" s="272">
        <f t="shared" si="92"/>
        <v>0</v>
      </c>
      <c r="L95" s="272">
        <f t="shared" si="92"/>
        <v>0</v>
      </c>
      <c r="M95" s="272">
        <f t="shared" si="92"/>
        <v>0</v>
      </c>
      <c r="N95" s="272">
        <f t="shared" si="92"/>
        <v>0</v>
      </c>
      <c r="O95" s="272">
        <f t="shared" si="92"/>
        <v>0</v>
      </c>
      <c r="P95" s="272">
        <f t="shared" si="92"/>
        <v>0</v>
      </c>
      <c r="Q95" s="272">
        <f t="shared" si="92"/>
        <v>0</v>
      </c>
      <c r="R95" s="272">
        <f t="shared" si="92"/>
        <v>0</v>
      </c>
      <c r="S95" s="272">
        <f t="shared" si="92"/>
        <v>0</v>
      </c>
      <c r="T95" s="272">
        <f t="shared" si="92"/>
        <v>0</v>
      </c>
      <c r="U95" s="272">
        <f t="shared" si="92"/>
        <v>0</v>
      </c>
      <c r="V95" s="272">
        <f t="shared" si="92"/>
        <v>0</v>
      </c>
      <c r="W95" s="272">
        <f t="shared" si="92"/>
        <v>0</v>
      </c>
      <c r="X95" s="272">
        <f t="shared" si="92"/>
        <v>0</v>
      </c>
      <c r="Y95" s="272">
        <f t="shared" si="92"/>
        <v>0</v>
      </c>
      <c r="Z95" s="272">
        <f t="shared" si="92"/>
        <v>0</v>
      </c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>
        <f>DC67-DC86</f>
        <v>0</v>
      </c>
    </row>
    <row r="96" spans="2:107" ht="15" hidden="1" customHeight="1" x14ac:dyDescent="0.25">
      <c r="B96" s="259">
        <v>54</v>
      </c>
      <c r="C96" s="281" t="s">
        <v>4247</v>
      </c>
      <c r="D96" s="282">
        <f>D45</f>
        <v>0</v>
      </c>
      <c r="E96" s="552" t="s">
        <v>3912</v>
      </c>
      <c r="F96" s="276" t="s">
        <v>4248</v>
      </c>
      <c r="G96" s="283">
        <f t="shared" ref="G96:Z96" si="93">IF(G67=0,0,G95/G67)</f>
        <v>0</v>
      </c>
      <c r="H96" s="279">
        <f t="shared" si="93"/>
        <v>0</v>
      </c>
      <c r="I96" s="279">
        <f t="shared" si="93"/>
        <v>0</v>
      </c>
      <c r="J96" s="279">
        <f t="shared" si="93"/>
        <v>0</v>
      </c>
      <c r="K96" s="279">
        <f t="shared" si="93"/>
        <v>0</v>
      </c>
      <c r="L96" s="279">
        <f t="shared" si="93"/>
        <v>0</v>
      </c>
      <c r="M96" s="279">
        <f t="shared" si="93"/>
        <v>0</v>
      </c>
      <c r="N96" s="279">
        <f t="shared" si="93"/>
        <v>0</v>
      </c>
      <c r="O96" s="279">
        <f t="shared" si="93"/>
        <v>0</v>
      </c>
      <c r="P96" s="279">
        <f t="shared" si="93"/>
        <v>0</v>
      </c>
      <c r="Q96" s="279">
        <f t="shared" si="93"/>
        <v>0</v>
      </c>
      <c r="R96" s="279">
        <f t="shared" si="93"/>
        <v>0</v>
      </c>
      <c r="S96" s="279">
        <f t="shared" si="93"/>
        <v>0</v>
      </c>
      <c r="T96" s="279">
        <f t="shared" si="93"/>
        <v>0</v>
      </c>
      <c r="U96" s="279">
        <f t="shared" si="93"/>
        <v>0</v>
      </c>
      <c r="V96" s="279">
        <f t="shared" si="93"/>
        <v>0</v>
      </c>
      <c r="W96" s="279">
        <f t="shared" si="93"/>
        <v>0</v>
      </c>
      <c r="X96" s="279">
        <f t="shared" si="93"/>
        <v>0</v>
      </c>
      <c r="Y96" s="279">
        <f t="shared" si="93"/>
        <v>0</v>
      </c>
      <c r="Z96" s="279">
        <f t="shared" si="93"/>
        <v>0</v>
      </c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  <c r="BT96" s="279"/>
      <c r="BU96" s="279"/>
      <c r="BV96" s="279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79"/>
      <c r="CI96" s="279"/>
      <c r="CJ96" s="279"/>
      <c r="CK96" s="279"/>
      <c r="CL96" s="279"/>
      <c r="CM96" s="279"/>
      <c r="CN96" s="279"/>
      <c r="CO96" s="279"/>
      <c r="CP96" s="279"/>
      <c r="CQ96" s="279"/>
      <c r="CR96" s="279"/>
      <c r="CS96" s="279"/>
      <c r="CT96" s="279"/>
      <c r="CU96" s="279"/>
      <c r="CV96" s="279"/>
      <c r="CW96" s="279"/>
      <c r="CX96" s="279"/>
      <c r="CY96" s="279"/>
      <c r="CZ96" s="279"/>
      <c r="DA96" s="279"/>
      <c r="DB96" s="279"/>
      <c r="DC96" s="279">
        <f>IF(DC67=0,0,DC95/DC67)</f>
        <v>0</v>
      </c>
    </row>
    <row r="97" spans="2:107" ht="15" hidden="1" customHeight="1" x14ac:dyDescent="0.25">
      <c r="B97" s="284"/>
      <c r="C97" s="285" t="s">
        <v>4851</v>
      </c>
      <c r="D97" s="285"/>
      <c r="E97" s="537" t="s">
        <v>3911</v>
      </c>
      <c r="F97" s="286" t="s">
        <v>4843</v>
      </c>
      <c r="G97" s="287">
        <f>SUM(H97:DC97)</f>
        <v>0</v>
      </c>
      <c r="H97" s="288">
        <f t="shared" ref="H97:Z97" si="94">H93*$D$94+H95*$D$96</f>
        <v>0</v>
      </c>
      <c r="I97" s="288">
        <f t="shared" si="94"/>
        <v>0</v>
      </c>
      <c r="J97" s="288">
        <f t="shared" si="94"/>
        <v>0</v>
      </c>
      <c r="K97" s="288">
        <f t="shared" si="94"/>
        <v>0</v>
      </c>
      <c r="L97" s="288">
        <f t="shared" si="94"/>
        <v>0</v>
      </c>
      <c r="M97" s="288">
        <f t="shared" si="94"/>
        <v>0</v>
      </c>
      <c r="N97" s="288">
        <f t="shared" si="94"/>
        <v>0</v>
      </c>
      <c r="O97" s="288">
        <f t="shared" si="94"/>
        <v>0</v>
      </c>
      <c r="P97" s="288">
        <f t="shared" si="94"/>
        <v>0</v>
      </c>
      <c r="Q97" s="288">
        <f t="shared" si="94"/>
        <v>0</v>
      </c>
      <c r="R97" s="288">
        <f t="shared" si="94"/>
        <v>0</v>
      </c>
      <c r="S97" s="288">
        <f t="shared" si="94"/>
        <v>0</v>
      </c>
      <c r="T97" s="288">
        <f t="shared" si="94"/>
        <v>0</v>
      </c>
      <c r="U97" s="288">
        <f t="shared" si="94"/>
        <v>0</v>
      </c>
      <c r="V97" s="288">
        <f t="shared" si="94"/>
        <v>0</v>
      </c>
      <c r="W97" s="288">
        <f t="shared" si="94"/>
        <v>0</v>
      </c>
      <c r="X97" s="288">
        <f t="shared" si="94"/>
        <v>0</v>
      </c>
      <c r="Y97" s="288">
        <f t="shared" si="94"/>
        <v>0</v>
      </c>
      <c r="Z97" s="288">
        <f t="shared" si="94"/>
        <v>0</v>
      </c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8"/>
      <c r="CI97" s="288"/>
      <c r="CJ97" s="288"/>
      <c r="CK97" s="288"/>
      <c r="CL97" s="288"/>
      <c r="CM97" s="288"/>
      <c r="CN97" s="288"/>
      <c r="CO97" s="288"/>
      <c r="CP97" s="288"/>
      <c r="CQ97" s="288"/>
      <c r="CR97" s="288"/>
      <c r="CS97" s="288"/>
      <c r="CT97" s="288"/>
      <c r="CU97" s="288"/>
      <c r="CV97" s="288"/>
      <c r="CW97" s="288"/>
      <c r="CX97" s="288"/>
      <c r="CY97" s="288"/>
      <c r="CZ97" s="288"/>
      <c r="DA97" s="288"/>
      <c r="DB97" s="288"/>
      <c r="DC97" s="288">
        <f>DC93*$D$94+DC95*$D$96</f>
        <v>0</v>
      </c>
    </row>
    <row r="98" spans="2:107" ht="15" hidden="1" customHeight="1" x14ac:dyDescent="0.25">
      <c r="H98" s="289"/>
      <c r="I98" s="289"/>
    </row>
    <row r="99" spans="2:107" ht="15" hidden="1" customHeight="1" x14ac:dyDescent="0.35">
      <c r="E99" s="213" t="s">
        <v>4728</v>
      </c>
      <c r="F99" s="214"/>
      <c r="G99" s="215">
        <f>RCB!$G$33</f>
        <v>0</v>
      </c>
      <c r="H99" s="289"/>
      <c r="I99" s="213" t="s">
        <v>4729</v>
      </c>
      <c r="J99" s="214"/>
      <c r="K99" s="215">
        <f>RCB!$J$33</f>
        <v>0</v>
      </c>
    </row>
    <row r="100" spans="2:107" ht="15" hidden="1" customHeight="1" x14ac:dyDescent="0.35">
      <c r="E100" s="213" t="s">
        <v>4074</v>
      </c>
      <c r="F100" s="214"/>
      <c r="G100" s="215">
        <f>RCB!$H$30</f>
        <v>0</v>
      </c>
      <c r="H100" s="289"/>
      <c r="I100" s="213" t="s">
        <v>4075</v>
      </c>
      <c r="J100" s="214"/>
      <c r="K100" s="215">
        <f>RCB!$K$30</f>
        <v>0</v>
      </c>
    </row>
    <row r="101" spans="2:107" ht="15" hidden="1" customHeight="1" x14ac:dyDescent="0.25">
      <c r="H101" s="289"/>
      <c r="I101" s="289"/>
    </row>
  </sheetData>
  <sheetProtection algorithmName="SHA-512" hashValue="iv989aXrZ6CR2Ymx2bxOfN6bBep7jiRQ1TUeG8drDL2LrtqSuHlgMREWOGKfLNMBV4Nb03bqVcW3rspvwLjeBA==" saltValue="TYuNUa1/TsvmS7cqykWwWw==" spinCount="100000" sheet="1" objects="1" scenarios="1"/>
  <mergeCells count="20">
    <mergeCell ref="B2:F2"/>
    <mergeCell ref="B10:B12"/>
    <mergeCell ref="B13:B17"/>
    <mergeCell ref="B21:F21"/>
    <mergeCell ref="B29:B31"/>
    <mergeCell ref="B84:B85"/>
    <mergeCell ref="B91:F91"/>
    <mergeCell ref="B76:B77"/>
    <mergeCell ref="B78:B80"/>
    <mergeCell ref="B7:B8"/>
    <mergeCell ref="B26:B27"/>
    <mergeCell ref="B57:B58"/>
    <mergeCell ref="B59:B61"/>
    <mergeCell ref="B72:F72"/>
    <mergeCell ref="B81:B83"/>
    <mergeCell ref="B65:B66"/>
    <mergeCell ref="B32:B36"/>
    <mergeCell ref="B40:F40"/>
    <mergeCell ref="B53:F53"/>
    <mergeCell ref="B62:B64"/>
  </mergeCells>
  <phoneticPr fontId="22" type="noConversion"/>
  <conditionalFormatting sqref="G5:G19 G24:G38 G55:G70 G74:G89 G93:G97">
    <cfRule type="expression" dxfId="27" priority="14">
      <formula>G5="ERRO"</formula>
    </cfRule>
  </conditionalFormatting>
  <conditionalFormatting sqref="G42:G48">
    <cfRule type="expression" dxfId="26" priority="1">
      <formula>G42="ERRO"</formula>
    </cfRule>
  </conditionalFormatting>
  <conditionalFormatting sqref="H7:DC7 H26:DC26 H36:DC36 H66:DC66 H85:DC85">
    <cfRule type="expression" dxfId="25" priority="7">
      <formula>OR(H7&gt;1,H7&lt;0)</formula>
    </cfRule>
  </conditionalFormatting>
  <conditionalFormatting sqref="H10:DC11 H62:DC63 H81:DC82">
    <cfRule type="expression" dxfId="24" priority="12">
      <formula>OR(H10&gt;365,H10&lt;0)</formula>
    </cfRule>
  </conditionalFormatting>
  <conditionalFormatting sqref="H12:DC12 H31:DC31 H64:DC64 H83:DC83">
    <cfRule type="expression" dxfId="23" priority="8">
      <formula>OR(H12&gt;8760,H12&lt;0)</formula>
    </cfRule>
  </conditionalFormatting>
  <conditionalFormatting sqref="H13:DC14">
    <cfRule type="expression" dxfId="22" priority="10">
      <formula>OR(H13&gt;22,H13&lt;0)</formula>
    </cfRule>
  </conditionalFormatting>
  <conditionalFormatting sqref="H15:DC15">
    <cfRule type="expression" dxfId="21" priority="9">
      <formula>OR(H15&gt;12,H15&lt;0)</formula>
    </cfRule>
  </conditionalFormatting>
  <conditionalFormatting sqref="H29:DC30">
    <cfRule type="expression" dxfId="20" priority="13">
      <formula>OR(H29&gt;365,H29&lt;0)</formula>
    </cfRule>
  </conditionalFormatting>
  <conditionalFormatting sqref="H32:DC34">
    <cfRule type="expression" dxfId="19" priority="11">
      <formula>OR(H32&gt;22,H32&lt;0)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DC1:IV1 A8:F8 A44 A43 E43:F43 A49:F93 A45 E45:F45 A95:F95 A94:C94 E94:F94 A96:C96 E96:F96 DC49:IV65536 A46:F46 I13:Z15 H24:Z28 I9:Z11 H12:Z12 H35:Z46 H49:Z96 H7:Z8 A97:Z65536 DD24:IV46 DD2:IV3 A1:Z3 C5:Z6 A5:A7 C7:F7 A11:F12 A9:A10 C9:F10 A14:F17 A13 C13:F13 A20:F22 A18:A19 C18:F19 A27:F27 A24:A26 C24:F26 A30:F41 A28:A29 C28:F29 DD5:IV22 H16:Z22 A42 C42:F42 C43 C44:F44 C45 H29:DC30 H32:DC34" unlockedFormula="1"/>
    <ignoredError sqref="G49:G96 G24:G41 G43 G45 G7:G22 H31:Z31" formula="1" unlockedFormula="1"/>
    <ignoredError sqref="AA31:BU31 BV31:DC3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8"/>
  <dimension ref="B2:Z123"/>
  <sheetViews>
    <sheetView zoomScale="115" zoomScaleNormal="115" workbookViewId="0">
      <selection activeCell="K15" sqref="K15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0" width="13.5703125" style="52" bestFit="1" customWidth="1"/>
    <col min="11" max="11" width="18.85546875" style="52" bestFit="1" customWidth="1"/>
    <col min="12" max="12" width="20.285156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12.57031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10.14062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4021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OUTROS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27"/>
      <c r="D6" s="828"/>
      <c r="E6" s="828"/>
      <c r="F6" s="828"/>
      <c r="G6" s="828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27"/>
      <c r="D7" s="828"/>
      <c r="E7" s="828"/>
      <c r="F7" s="828"/>
      <c r="G7" s="828"/>
      <c r="H7" s="18"/>
      <c r="I7" s="2"/>
      <c r="J7" s="1"/>
      <c r="K7" s="143">
        <f t="shared" ref="K7:K25" si="0">N7-L7-M7</f>
        <v>0</v>
      </c>
      <c r="L7" s="1"/>
      <c r="M7" s="1"/>
      <c r="N7" s="143">
        <f t="shared" ref="N7:N25" si="1">I7*J7</f>
        <v>0</v>
      </c>
      <c r="P7" s="168">
        <f t="shared" ref="P7:P25" si="2">B7</f>
        <v>2</v>
      </c>
      <c r="Q7" s="834" t="str">
        <f t="shared" ref="Q7:Q25" si="3">IF(OR(C7=0,C7=""),"",C7)</f>
        <v/>
      </c>
      <c r="R7" s="834"/>
      <c r="S7" s="834"/>
      <c r="T7" s="834"/>
      <c r="U7" s="835"/>
      <c r="V7" s="171" t="str">
        <f t="shared" ref="V7:V25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27"/>
      <c r="D8" s="828"/>
      <c r="E8" s="828"/>
      <c r="F8" s="828"/>
      <c r="G8" s="828"/>
      <c r="H8" s="18"/>
      <c r="I8" s="2"/>
      <c r="J8" s="1"/>
      <c r="K8" s="143">
        <f t="shared" si="0"/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 t="shared" si="3"/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27"/>
      <c r="D9" s="828"/>
      <c r="E9" s="828"/>
      <c r="F9" s="828"/>
      <c r="G9" s="828"/>
      <c r="H9" s="18"/>
      <c r="I9" s="2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3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27"/>
      <c r="D10" s="828"/>
      <c r="E10" s="828"/>
      <c r="F10" s="828"/>
      <c r="G10" s="828"/>
      <c r="H10" s="18"/>
      <c r="I10" s="2"/>
      <c r="J10" s="1"/>
      <c r="K10" s="143">
        <f t="shared" si="0"/>
        <v>0</v>
      </c>
      <c r="L10" s="1"/>
      <c r="M10" s="1"/>
      <c r="N10" s="143">
        <f t="shared" si="1"/>
        <v>0</v>
      </c>
      <c r="P10" s="168">
        <f t="shared" si="2"/>
        <v>5</v>
      </c>
      <c r="Q10" s="834" t="str">
        <f t="shared" si="3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27"/>
      <c r="D11" s="828"/>
      <c r="E11" s="828"/>
      <c r="F11" s="828"/>
      <c r="G11" s="828"/>
      <c r="H11" s="18"/>
      <c r="I11" s="2"/>
      <c r="J11" s="1"/>
      <c r="K11" s="143">
        <f t="shared" si="0"/>
        <v>0</v>
      </c>
      <c r="L11" s="1"/>
      <c r="M11" s="1"/>
      <c r="N11" s="143">
        <f>I11*J11</f>
        <v>0</v>
      </c>
      <c r="P11" s="168">
        <f t="shared" si="2"/>
        <v>6</v>
      </c>
      <c r="Q11" s="834" t="str">
        <f t="shared" si="3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27"/>
      <c r="D12" s="828"/>
      <c r="E12" s="828"/>
      <c r="F12" s="828"/>
      <c r="G12" s="828"/>
      <c r="H12" s="18"/>
      <c r="I12" s="2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3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27"/>
      <c r="D13" s="828"/>
      <c r="E13" s="828"/>
      <c r="F13" s="828"/>
      <c r="G13" s="828"/>
      <c r="H13" s="18"/>
      <c r="I13" s="2"/>
      <c r="J13" s="1"/>
      <c r="K13" s="143">
        <f t="shared" si="0"/>
        <v>0</v>
      </c>
      <c r="L13" s="1"/>
      <c r="M13" s="1"/>
      <c r="N13" s="143">
        <f t="shared" si="1"/>
        <v>0</v>
      </c>
      <c r="P13" s="168">
        <f t="shared" si="2"/>
        <v>8</v>
      </c>
      <c r="Q13" s="834" t="str">
        <f t="shared" si="3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27"/>
      <c r="D14" s="828"/>
      <c r="E14" s="828"/>
      <c r="F14" s="828"/>
      <c r="G14" s="828"/>
      <c r="H14" s="18"/>
      <c r="I14" s="2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3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27"/>
      <c r="D15" s="828"/>
      <c r="E15" s="828"/>
      <c r="F15" s="828"/>
      <c r="G15" s="828"/>
      <c r="H15" s="18"/>
      <c r="I15" s="2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3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27"/>
      <c r="D16" s="828"/>
      <c r="E16" s="828"/>
      <c r="F16" s="828"/>
      <c r="G16" s="828"/>
      <c r="H16" s="18"/>
      <c r="I16" s="2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3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27"/>
      <c r="D17" s="828"/>
      <c r="E17" s="828"/>
      <c r="F17" s="828"/>
      <c r="G17" s="828"/>
      <c r="H17" s="18"/>
      <c r="I17" s="2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3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27"/>
      <c r="D18" s="828"/>
      <c r="E18" s="828"/>
      <c r="F18" s="828"/>
      <c r="G18" s="828"/>
      <c r="H18" s="18"/>
      <c r="I18" s="2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3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27"/>
      <c r="D19" s="828"/>
      <c r="E19" s="828"/>
      <c r="F19" s="828"/>
      <c r="G19" s="828"/>
      <c r="H19" s="18"/>
      <c r="I19" s="2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3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27"/>
      <c r="D20" s="828"/>
      <c r="E20" s="828"/>
      <c r="F20" s="828"/>
      <c r="G20" s="828"/>
      <c r="H20" s="18"/>
      <c r="I20" s="2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3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27"/>
      <c r="D21" s="828"/>
      <c r="E21" s="828"/>
      <c r="F21" s="828"/>
      <c r="G21" s="828"/>
      <c r="H21" s="18"/>
      <c r="I21" s="2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3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27"/>
      <c r="D22" s="828"/>
      <c r="E22" s="828"/>
      <c r="F22" s="828"/>
      <c r="G22" s="828"/>
      <c r="H22" s="18"/>
      <c r="I22" s="2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3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27"/>
      <c r="D23" s="828"/>
      <c r="E23" s="828"/>
      <c r="F23" s="828"/>
      <c r="G23" s="828"/>
      <c r="H23" s="18"/>
      <c r="I23" s="2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3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27"/>
      <c r="D24" s="828"/>
      <c r="E24" s="828"/>
      <c r="F24" s="828"/>
      <c r="G24" s="828"/>
      <c r="H24" s="18"/>
      <c r="I24" s="2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3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27"/>
      <c r="D25" s="828"/>
      <c r="E25" s="828"/>
      <c r="F25" s="828"/>
      <c r="G25" s="828"/>
      <c r="H25" s="18"/>
      <c r="I25" s="2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3"/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4852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4853</v>
      </c>
      <c r="Q27" s="884"/>
      <c r="R27" s="884"/>
      <c r="S27" s="884"/>
      <c r="T27" s="884"/>
      <c r="U27" s="884"/>
      <c r="V27" s="885"/>
      <c r="W27" s="182" t="s">
        <v>4854</v>
      </c>
      <c r="X27" s="183">
        <f>SUM(X6:X26)</f>
        <v>0</v>
      </c>
      <c r="Y27" s="183">
        <f>SUM(Y6:Y26)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4855</v>
      </c>
      <c r="Q29" s="190"/>
      <c r="R29" s="191">
        <f>RCB!$G$13</f>
        <v>0</v>
      </c>
      <c r="T29" s="189" t="s">
        <v>4856</v>
      </c>
      <c r="U29" s="190"/>
      <c r="V29" s="191">
        <f>RCB!$J$13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 t="shared" ref="K31:K37" si="5">N31-L31-M31</f>
        <v>0</v>
      </c>
      <c r="L31" s="143">
        <v>0</v>
      </c>
      <c r="M31" s="143">
        <v>0</v>
      </c>
      <c r="N31" s="143">
        <f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si="5"/>
        <v>0</v>
      </c>
      <c r="L32" s="143">
        <v>0</v>
      </c>
      <c r="M32" s="143">
        <v>0</v>
      </c>
      <c r="N32" s="143">
        <f t="shared" ref="N32:N37" si="6">H32*I32*J32</f>
        <v>0</v>
      </c>
    </row>
    <row r="33" spans="2:16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>H33*I33*J33</f>
        <v>0</v>
      </c>
    </row>
    <row r="34" spans="2:16" ht="15" customHeight="1" x14ac:dyDescent="0.25">
      <c r="B34" s="175">
        <v>4</v>
      </c>
      <c r="C34" s="959"/>
      <c r="D34" s="959"/>
      <c r="E34" s="959"/>
      <c r="F34" s="959"/>
      <c r="G34" s="960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6" ht="15" customHeight="1" x14ac:dyDescent="0.25">
      <c r="B35" s="168">
        <v>5</v>
      </c>
      <c r="C35" s="959"/>
      <c r="D35" s="959"/>
      <c r="E35" s="959"/>
      <c r="F35" s="959"/>
      <c r="G35" s="960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6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6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16" ht="15" customHeight="1" x14ac:dyDescent="0.25">
      <c r="B38" s="195"/>
      <c r="C38" s="877" t="s">
        <v>4857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6" x14ac:dyDescent="0.25">
      <c r="B39" s="180"/>
      <c r="C39" s="844" t="s">
        <v>4858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16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6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6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16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6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>I44*J44</f>
        <v>0</v>
      </c>
    </row>
    <row r="45" spans="2:16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>I45*J45</f>
        <v>0</v>
      </c>
    </row>
    <row r="46" spans="2:16" ht="15" customHeight="1" x14ac:dyDescent="0.25">
      <c r="B46" s="195"/>
      <c r="C46" s="848" t="s">
        <v>3925</v>
      </c>
      <c r="D46" s="848"/>
      <c r="E46" s="848"/>
      <c r="F46" s="848"/>
      <c r="G46" s="848"/>
      <c r="H46" s="848"/>
      <c r="I46" s="848"/>
      <c r="J46" s="849"/>
      <c r="K46" s="143">
        <f>SUM(K43:K45)</f>
        <v>0</v>
      </c>
      <c r="L46" s="143">
        <f>SUM(L43:L45)</f>
        <v>0</v>
      </c>
      <c r="M46" s="143">
        <f>SUM(M43:M45)</f>
        <v>0</v>
      </c>
      <c r="N46" s="143">
        <f>SUM(N43:N45)</f>
        <v>0</v>
      </c>
    </row>
    <row r="47" spans="2:16" ht="15" customHeight="1" x14ac:dyDescent="0.25">
      <c r="B47" s="195"/>
      <c r="C47" s="848" t="s">
        <v>3926</v>
      </c>
      <c r="D47" s="848"/>
      <c r="E47" s="848"/>
      <c r="F47" s="848"/>
      <c r="G47" s="848"/>
      <c r="H47" s="848"/>
      <c r="I47" s="848"/>
      <c r="J47" s="849"/>
      <c r="K47" s="143">
        <f>Descarte!K93</f>
        <v>0</v>
      </c>
      <c r="L47" s="143">
        <v>0</v>
      </c>
      <c r="M47" s="143">
        <v>0</v>
      </c>
      <c r="N47" s="143">
        <f>Descarte!L93</f>
        <v>0</v>
      </c>
    </row>
    <row r="48" spans="2:16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'M&amp;V'!M416</f>
        <v>0</v>
      </c>
      <c r="L48" s="143">
        <v>0</v>
      </c>
      <c r="M48" s="143">
        <v>0</v>
      </c>
      <c r="N48" s="143">
        <f>'M&amp;V'!N416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4859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4860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4039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OUTROS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>
        <f>IF(AND(K61&gt;0,[1]CustoContabil!$F$31&gt;0),K61*([1]CustoContabil!$F$45/[1]CustoContabil!$F$31)*W61,0)</f>
        <v>0</v>
      </c>
      <c r="Y61" s="204">
        <f>IF(AND(N61&gt;0,[1]CustoContabil!$D$31&gt;0),N61*([1]CustoContabil!$D$45/[1]CustoContabil!$D$31)*W61,0)</f>
        <v>0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7">N62-L62-M62</f>
        <v>0</v>
      </c>
      <c r="L62" s="142"/>
      <c r="M62" s="142"/>
      <c r="N62" s="158">
        <f t="shared" ref="N62:N81" si="8">I62*J62</f>
        <v>0</v>
      </c>
      <c r="P62" s="201">
        <f t="shared" ref="P62:P80" si="9">B62</f>
        <v>2</v>
      </c>
      <c r="Q62" s="866" t="str">
        <f t="shared" ref="Q62:Q81" si="10">IF(OR(C62=0,C62=""),"",C62)</f>
        <v/>
      </c>
      <c r="R62" s="866"/>
      <c r="S62" s="866"/>
      <c r="T62" s="866"/>
      <c r="U62" s="867"/>
      <c r="V62" s="202" t="str">
        <f t="shared" ref="V62:V81" si="11">IF(N62=0,"",H62)</f>
        <v/>
      </c>
      <c r="W62" s="203">
        <f>IF(OR(V62="",V62=0),0,(#REF!*((1+#REF!)^V62))/(((1+#REF!)^V62)-1))</f>
        <v>0</v>
      </c>
      <c r="X62" s="204">
        <f>IF(AND(K62&gt;0,[1]CustoContabil!$F$31&gt;0),K62*([1]CustoContabil!$F$45/[1]CustoContabil!$F$31)*W62,0)</f>
        <v>0</v>
      </c>
      <c r="Y62" s="204">
        <f>IF(AND(N62&gt;0,[1]CustoContabil!$D$31&gt;0),N62*([1]CustoContabil!$D$45/[1]CustoContabil!$D$31)*W62,0)</f>
        <v>0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7"/>
        <v>0</v>
      </c>
      <c r="L63" s="142"/>
      <c r="M63" s="142"/>
      <c r="N63" s="158">
        <f t="shared" si="8"/>
        <v>0</v>
      </c>
      <c r="P63" s="201">
        <f t="shared" si="9"/>
        <v>3</v>
      </c>
      <c r="Q63" s="866" t="str">
        <f t="shared" si="10"/>
        <v/>
      </c>
      <c r="R63" s="866"/>
      <c r="S63" s="866"/>
      <c r="T63" s="866"/>
      <c r="U63" s="867"/>
      <c r="V63" s="202" t="str">
        <f t="shared" si="11"/>
        <v/>
      </c>
      <c r="W63" s="203">
        <f>IF(OR(V63="",V63=0),0,(#REF!*((1+#REF!)^V63))/(((1+#REF!)^V63)-1))</f>
        <v>0</v>
      </c>
      <c r="X63" s="204">
        <f>IF(AND(K63&gt;0,[1]CustoContabil!$F$31&gt;0),K63*([1]CustoContabil!$F$45/[1]CustoContabil!$F$31)*W63,0)</f>
        <v>0</v>
      </c>
      <c r="Y63" s="204">
        <f>IF(AND(N63&gt;0,[1]CustoContabil!$D$31&gt;0),N63*([1]CustoContabil!$D$45/[1]CustoContabil!$D$31)*W63,0)</f>
        <v>0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7"/>
        <v>0</v>
      </c>
      <c r="L64" s="142"/>
      <c r="M64" s="142"/>
      <c r="N64" s="158">
        <f t="shared" si="8"/>
        <v>0</v>
      </c>
      <c r="P64" s="201">
        <f t="shared" si="9"/>
        <v>4</v>
      </c>
      <c r="Q64" s="866" t="str">
        <f t="shared" si="10"/>
        <v/>
      </c>
      <c r="R64" s="866"/>
      <c r="S64" s="866"/>
      <c r="T64" s="866"/>
      <c r="U64" s="867"/>
      <c r="V64" s="202" t="str">
        <f t="shared" si="11"/>
        <v/>
      </c>
      <c r="W64" s="203">
        <f>IF(OR(V64="",V64=0),0,(#REF!*((1+#REF!)^V64))/(((1+#REF!)^V64)-1))</f>
        <v>0</v>
      </c>
      <c r="X64" s="204">
        <f>IF(AND(K64&gt;0,[1]CustoContabil!$F$31&gt;0),K64*([1]CustoContabil!$F$45/[1]CustoContabil!$F$31)*W64,0)</f>
        <v>0</v>
      </c>
      <c r="Y64" s="204">
        <f>IF(AND(N64&gt;0,[1]CustoContabil!$D$31&gt;0),N64*([1]CustoContabil!$D$45/[1]CustoContabil!$D$31)*W64,0)</f>
        <v>0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7"/>
        <v>0</v>
      </c>
      <c r="L65" s="142"/>
      <c r="M65" s="142"/>
      <c r="N65" s="158">
        <f t="shared" si="8"/>
        <v>0</v>
      </c>
      <c r="P65" s="201">
        <f t="shared" si="9"/>
        <v>5</v>
      </c>
      <c r="Q65" s="866" t="str">
        <f t="shared" si="10"/>
        <v/>
      </c>
      <c r="R65" s="866"/>
      <c r="S65" s="866"/>
      <c r="T65" s="866"/>
      <c r="U65" s="867"/>
      <c r="V65" s="202" t="str">
        <f t="shared" si="11"/>
        <v/>
      </c>
      <c r="W65" s="203">
        <f>IF(OR(V65="",V65=0),0,(#REF!*((1+#REF!)^V65))/(((1+#REF!)^V65)-1))</f>
        <v>0</v>
      </c>
      <c r="X65" s="204">
        <f>IF(AND(K65&gt;0,[1]CustoContabil!$F$31&gt;0),K65*([1]CustoContabil!$F$45/[1]CustoContabil!$F$31)*W65,0)</f>
        <v>0</v>
      </c>
      <c r="Y65" s="204">
        <f>IF(AND(N65&gt;0,[1]CustoContabil!$D$31&gt;0),N65*([1]CustoContabil!$D$45/[1]CustoContabil!$D$31)*W65,0)</f>
        <v>0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7"/>
        <v>0</v>
      </c>
      <c r="L66" s="142"/>
      <c r="M66" s="142"/>
      <c r="N66" s="158">
        <f t="shared" si="8"/>
        <v>0</v>
      </c>
      <c r="P66" s="201">
        <f t="shared" si="9"/>
        <v>6</v>
      </c>
      <c r="Q66" s="866" t="str">
        <f t="shared" si="10"/>
        <v/>
      </c>
      <c r="R66" s="866"/>
      <c r="S66" s="866"/>
      <c r="T66" s="866"/>
      <c r="U66" s="867"/>
      <c r="V66" s="202" t="str">
        <f t="shared" si="11"/>
        <v/>
      </c>
      <c r="W66" s="203">
        <f>IF(OR(V66="",V66=0),0,(#REF!*((1+#REF!)^V66))/(((1+#REF!)^V66)-1))</f>
        <v>0</v>
      </c>
      <c r="X66" s="204">
        <f>IF(AND(K66&gt;0,[1]CustoContabil!$F$31&gt;0),K66*([1]CustoContabil!$F$45/[1]CustoContabil!$F$31)*W66,0)</f>
        <v>0</v>
      </c>
      <c r="Y66" s="204">
        <f>IF(AND(N66&gt;0,[1]CustoContabil!$D$31&gt;0),N66*([1]CustoContabil!$D$45/[1]CustoContabil!$D$31)*W66,0)</f>
        <v>0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7"/>
        <v>0</v>
      </c>
      <c r="L67" s="142"/>
      <c r="M67" s="142"/>
      <c r="N67" s="158">
        <f t="shared" si="8"/>
        <v>0</v>
      </c>
      <c r="P67" s="201">
        <f t="shared" si="9"/>
        <v>7</v>
      </c>
      <c r="Q67" s="866" t="str">
        <f t="shared" si="10"/>
        <v/>
      </c>
      <c r="R67" s="866"/>
      <c r="S67" s="866"/>
      <c r="T67" s="866"/>
      <c r="U67" s="867"/>
      <c r="V67" s="202" t="str">
        <f t="shared" si="11"/>
        <v/>
      </c>
      <c r="W67" s="203">
        <f>IF(OR(V67="",V67=0),0,(#REF!*((1+#REF!)^V67))/(((1+#REF!)^V67)-1))</f>
        <v>0</v>
      </c>
      <c r="X67" s="204">
        <f>IF(AND(K67&gt;0,[1]CustoContabil!$F$31&gt;0),K67*([1]CustoContabil!$F$45/[1]CustoContabil!$F$31)*W67,0)</f>
        <v>0</v>
      </c>
      <c r="Y67" s="204">
        <f>IF(AND(N67&gt;0,[1]CustoContabil!$D$31&gt;0),N67*([1]CustoContabil!$D$45/[1]CustoContabil!$D$31)*W67,0)</f>
        <v>0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7"/>
        <v>0</v>
      </c>
      <c r="L68" s="142"/>
      <c r="M68" s="142"/>
      <c r="N68" s="158">
        <f t="shared" si="8"/>
        <v>0</v>
      </c>
      <c r="P68" s="201">
        <f t="shared" si="9"/>
        <v>8</v>
      </c>
      <c r="Q68" s="866" t="str">
        <f t="shared" si="10"/>
        <v/>
      </c>
      <c r="R68" s="866"/>
      <c r="S68" s="866"/>
      <c r="T68" s="866"/>
      <c r="U68" s="867"/>
      <c r="V68" s="202" t="str">
        <f t="shared" si="11"/>
        <v/>
      </c>
      <c r="W68" s="203">
        <f>IF(OR(V68="",V68=0),0,(#REF!*((1+#REF!)^V68))/(((1+#REF!)^V68)-1))</f>
        <v>0</v>
      </c>
      <c r="X68" s="204">
        <f>IF(AND(K68&gt;0,[1]CustoContabil!$F$31&gt;0),K68*([1]CustoContabil!$F$45/[1]CustoContabil!$F$31)*W68,0)</f>
        <v>0</v>
      </c>
      <c r="Y68" s="204">
        <f>IF(AND(N68&gt;0,[1]CustoContabil!$D$31&gt;0),N68*([1]CustoContabil!$D$45/[1]CustoContabil!$D$31)*W68,0)</f>
        <v>0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7"/>
        <v>0</v>
      </c>
      <c r="L69" s="142"/>
      <c r="M69" s="142"/>
      <c r="N69" s="158">
        <f t="shared" si="8"/>
        <v>0</v>
      </c>
      <c r="P69" s="201">
        <f t="shared" si="9"/>
        <v>9</v>
      </c>
      <c r="Q69" s="866" t="str">
        <f t="shared" si="10"/>
        <v/>
      </c>
      <c r="R69" s="866"/>
      <c r="S69" s="866"/>
      <c r="T69" s="866"/>
      <c r="U69" s="867"/>
      <c r="V69" s="202" t="str">
        <f t="shared" si="11"/>
        <v/>
      </c>
      <c r="W69" s="203">
        <f>IF(OR(V69="",V69=0),0,(#REF!*((1+#REF!)^V69))/(((1+#REF!)^V69)-1))</f>
        <v>0</v>
      </c>
      <c r="X69" s="204">
        <f>IF(AND(K69&gt;0,[1]CustoContabil!$F$31&gt;0),K69*([1]CustoContabil!$F$45/[1]CustoContabil!$F$31)*W69,0)</f>
        <v>0</v>
      </c>
      <c r="Y69" s="204">
        <f>IF(AND(N69&gt;0,[1]CustoContabil!$D$31&gt;0),N69*([1]CustoContabil!$D$45/[1]CustoContabil!$D$31)*W69,0)</f>
        <v>0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7"/>
        <v>0</v>
      </c>
      <c r="L70" s="142"/>
      <c r="M70" s="142"/>
      <c r="N70" s="158">
        <f t="shared" si="8"/>
        <v>0</v>
      </c>
      <c r="P70" s="201">
        <f t="shared" si="9"/>
        <v>10</v>
      </c>
      <c r="Q70" s="866" t="str">
        <f t="shared" si="10"/>
        <v/>
      </c>
      <c r="R70" s="866"/>
      <c r="S70" s="866"/>
      <c r="T70" s="866"/>
      <c r="U70" s="867"/>
      <c r="V70" s="202" t="str">
        <f t="shared" si="11"/>
        <v/>
      </c>
      <c r="W70" s="203">
        <f>IF(OR(V70="",V70=0),0,(#REF!*((1+#REF!)^V70))/(((1+#REF!)^V70)-1))</f>
        <v>0</v>
      </c>
      <c r="X70" s="204">
        <f>IF(AND(K70&gt;0,[1]CustoContabil!$F$31&gt;0),K70*([1]CustoContabil!$F$45/[1]CustoContabil!$F$31)*W70,0)</f>
        <v>0</v>
      </c>
      <c r="Y70" s="204">
        <f>IF(AND(N70&gt;0,[1]CustoContabil!$D$31&gt;0),N70*([1]CustoContabil!$D$45/[1]CustoContabil!$D$31)*W70,0)</f>
        <v>0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7"/>
        <v>0</v>
      </c>
      <c r="L71" s="142"/>
      <c r="M71" s="142"/>
      <c r="N71" s="158">
        <f t="shared" si="8"/>
        <v>0</v>
      </c>
      <c r="P71" s="201">
        <f t="shared" si="9"/>
        <v>11</v>
      </c>
      <c r="Q71" s="866" t="str">
        <f t="shared" si="10"/>
        <v/>
      </c>
      <c r="R71" s="866"/>
      <c r="S71" s="866"/>
      <c r="T71" s="866"/>
      <c r="U71" s="867"/>
      <c r="V71" s="202" t="str">
        <f t="shared" si="11"/>
        <v/>
      </c>
      <c r="W71" s="203">
        <f>IF(OR(V71="",V71=0),0,(#REF!*((1+#REF!)^V71))/(((1+#REF!)^V71)-1))</f>
        <v>0</v>
      </c>
      <c r="X71" s="204">
        <f>IF(AND(K71&gt;0,[1]CustoContabil!$F$31&gt;0),K71*([1]CustoContabil!$F$45/[1]CustoContabil!$F$31)*W71,0)</f>
        <v>0</v>
      </c>
      <c r="Y71" s="204">
        <f>IF(AND(N71&gt;0,[1]CustoContabil!$D$31&gt;0),N71*([1]CustoContabil!$D$45/[1]CustoContabil!$D$31)*W71,0)</f>
        <v>0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7"/>
        <v>0</v>
      </c>
      <c r="L72" s="142"/>
      <c r="M72" s="142"/>
      <c r="N72" s="158">
        <f t="shared" si="8"/>
        <v>0</v>
      </c>
      <c r="P72" s="201">
        <f t="shared" si="9"/>
        <v>12</v>
      </c>
      <c r="Q72" s="866" t="str">
        <f t="shared" si="10"/>
        <v/>
      </c>
      <c r="R72" s="866"/>
      <c r="S72" s="866"/>
      <c r="T72" s="866"/>
      <c r="U72" s="867"/>
      <c r="V72" s="202" t="str">
        <f t="shared" si="11"/>
        <v/>
      </c>
      <c r="W72" s="203">
        <f>IF(OR(V72="",V72=0),0,(#REF!*((1+#REF!)^V72))/(((1+#REF!)^V72)-1))</f>
        <v>0</v>
      </c>
      <c r="X72" s="204">
        <f>IF(AND(K72&gt;0,[1]CustoContabil!$F$31&gt;0),K72*([1]CustoContabil!$F$45/[1]CustoContabil!$F$31)*W72,0)</f>
        <v>0</v>
      </c>
      <c r="Y72" s="204">
        <f>IF(AND(N72&gt;0,[1]CustoContabil!$D$31&gt;0),N72*([1]CustoContabil!$D$45/[1]CustoContabil!$D$31)*W72,0)</f>
        <v>0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7"/>
        <v>0</v>
      </c>
      <c r="L73" s="142"/>
      <c r="M73" s="142"/>
      <c r="N73" s="158">
        <f t="shared" si="8"/>
        <v>0</v>
      </c>
      <c r="P73" s="201">
        <f t="shared" si="9"/>
        <v>13</v>
      </c>
      <c r="Q73" s="866" t="str">
        <f t="shared" si="10"/>
        <v/>
      </c>
      <c r="R73" s="866"/>
      <c r="S73" s="866"/>
      <c r="T73" s="866"/>
      <c r="U73" s="867"/>
      <c r="V73" s="202" t="str">
        <f t="shared" si="11"/>
        <v/>
      </c>
      <c r="W73" s="203">
        <f>IF(OR(V73="",V73=0),0,(#REF!*((1+#REF!)^V73))/(((1+#REF!)^V73)-1))</f>
        <v>0</v>
      </c>
      <c r="X73" s="204">
        <f>IF(AND(K73&gt;0,[1]CustoContabil!$F$31&gt;0),K73*([1]CustoContabil!$F$45/[1]CustoContabil!$F$31)*W73,0)</f>
        <v>0</v>
      </c>
      <c r="Y73" s="204">
        <f>IF(AND(N73&gt;0,[1]CustoContabil!$D$31&gt;0),N73*([1]CustoContabil!$D$45/[1]CustoContabil!$D$31)*W73,0)</f>
        <v>0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7"/>
        <v>0</v>
      </c>
      <c r="L74" s="142"/>
      <c r="M74" s="142"/>
      <c r="N74" s="158">
        <f t="shared" si="8"/>
        <v>0</v>
      </c>
      <c r="P74" s="201">
        <f t="shared" si="9"/>
        <v>14</v>
      </c>
      <c r="Q74" s="866" t="str">
        <f t="shared" si="10"/>
        <v/>
      </c>
      <c r="R74" s="866"/>
      <c r="S74" s="866"/>
      <c r="T74" s="866"/>
      <c r="U74" s="867"/>
      <c r="V74" s="202" t="str">
        <f t="shared" si="11"/>
        <v/>
      </c>
      <c r="W74" s="203">
        <f>IF(OR(V74="",V74=0),0,(#REF!*((1+#REF!)^V74))/(((1+#REF!)^V74)-1))</f>
        <v>0</v>
      </c>
      <c r="X74" s="204">
        <f>IF(AND(K74&gt;0,[1]CustoContabil!$F$31&gt;0),K74*([1]CustoContabil!$F$45/[1]CustoContabil!$F$31)*W74,0)</f>
        <v>0</v>
      </c>
      <c r="Y74" s="204">
        <f>IF(AND(N74&gt;0,[1]CustoContabil!$D$31&gt;0),N74*([1]CustoContabil!$D$45/[1]CustoContabil!$D$31)*W74,0)</f>
        <v>0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7"/>
        <v>0</v>
      </c>
      <c r="L75" s="142"/>
      <c r="M75" s="142"/>
      <c r="N75" s="158">
        <f t="shared" si="8"/>
        <v>0</v>
      </c>
      <c r="P75" s="201">
        <f t="shared" si="9"/>
        <v>15</v>
      </c>
      <c r="Q75" s="866" t="str">
        <f t="shared" si="10"/>
        <v/>
      </c>
      <c r="R75" s="866"/>
      <c r="S75" s="866"/>
      <c r="T75" s="866"/>
      <c r="U75" s="867"/>
      <c r="V75" s="202" t="str">
        <f t="shared" si="11"/>
        <v/>
      </c>
      <c r="W75" s="203">
        <f>IF(OR(V75="",V75=0),0,(#REF!*((1+#REF!)^V75))/(((1+#REF!)^V75)-1))</f>
        <v>0</v>
      </c>
      <c r="X75" s="204">
        <f>IF(AND(K75&gt;0,[1]CustoContabil!$F$31&gt;0),K75*([1]CustoContabil!$F$45/[1]CustoContabil!$F$31)*W75,0)</f>
        <v>0</v>
      </c>
      <c r="Y75" s="204">
        <f>IF(AND(N75&gt;0,[1]CustoContabil!$D$31&gt;0),N75*([1]CustoContabil!$D$45/[1]CustoContabil!$D$31)*W75,0)</f>
        <v>0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7"/>
        <v>0</v>
      </c>
      <c r="L76" s="142"/>
      <c r="M76" s="142"/>
      <c r="N76" s="158">
        <f t="shared" si="8"/>
        <v>0</v>
      </c>
      <c r="P76" s="201">
        <f t="shared" si="9"/>
        <v>16</v>
      </c>
      <c r="Q76" s="866" t="str">
        <f t="shared" si="10"/>
        <v/>
      </c>
      <c r="R76" s="866"/>
      <c r="S76" s="866"/>
      <c r="T76" s="866"/>
      <c r="U76" s="867"/>
      <c r="V76" s="202" t="str">
        <f t="shared" si="11"/>
        <v/>
      </c>
      <c r="W76" s="203">
        <f>IF(OR(V76="",V76=0),0,(#REF!*((1+#REF!)^V76))/(((1+#REF!)^V76)-1))</f>
        <v>0</v>
      </c>
      <c r="X76" s="204">
        <f>IF(AND(K76&gt;0,[1]CustoContabil!$F$31&gt;0),K76*([1]CustoContabil!$F$45/[1]CustoContabil!$F$31)*W76,0)</f>
        <v>0</v>
      </c>
      <c r="Y76" s="204">
        <f>IF(AND(N76&gt;0,[1]CustoContabil!$D$31&gt;0),N76*([1]CustoContabil!$D$45/[1]CustoContabil!$D$31)*W76,0)</f>
        <v>0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7"/>
        <v>0</v>
      </c>
      <c r="L77" s="142"/>
      <c r="M77" s="142"/>
      <c r="N77" s="158">
        <f t="shared" si="8"/>
        <v>0</v>
      </c>
      <c r="P77" s="201">
        <f t="shared" si="9"/>
        <v>17</v>
      </c>
      <c r="Q77" s="866" t="str">
        <f t="shared" si="10"/>
        <v/>
      </c>
      <c r="R77" s="866"/>
      <c r="S77" s="866"/>
      <c r="T77" s="866"/>
      <c r="U77" s="867"/>
      <c r="V77" s="202" t="str">
        <f t="shared" si="11"/>
        <v/>
      </c>
      <c r="W77" s="203">
        <f>IF(OR(V77="",V77=0),0,(#REF!*((1+#REF!)^V77))/(((1+#REF!)^V77)-1))</f>
        <v>0</v>
      </c>
      <c r="X77" s="204">
        <f>IF(AND(K77&gt;0,[1]CustoContabil!$F$31&gt;0),K77*([1]CustoContabil!$F$45/[1]CustoContabil!$F$31)*W77,0)</f>
        <v>0</v>
      </c>
      <c r="Y77" s="204">
        <f>IF(AND(N77&gt;0,[1]CustoContabil!$D$31&gt;0),N77*([1]CustoContabil!$D$45/[1]CustoContabil!$D$31)*W77,0)</f>
        <v>0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7"/>
        <v>0</v>
      </c>
      <c r="L78" s="142"/>
      <c r="M78" s="142"/>
      <c r="N78" s="158">
        <f t="shared" si="8"/>
        <v>0</v>
      </c>
      <c r="P78" s="201">
        <f t="shared" si="9"/>
        <v>18</v>
      </c>
      <c r="Q78" s="866" t="str">
        <f t="shared" si="10"/>
        <v/>
      </c>
      <c r="R78" s="866"/>
      <c r="S78" s="866"/>
      <c r="T78" s="866"/>
      <c r="U78" s="867"/>
      <c r="V78" s="202" t="str">
        <f t="shared" si="11"/>
        <v/>
      </c>
      <c r="W78" s="203">
        <f>IF(OR(V78="",V78=0),0,(#REF!*((1+#REF!)^V78))/(((1+#REF!)^V78)-1))</f>
        <v>0</v>
      </c>
      <c r="X78" s="204">
        <f>IF(AND(K78&gt;0,[1]CustoContabil!$F$31&gt;0),K78*([1]CustoContabil!$F$45/[1]CustoContabil!$F$31)*W78,0)</f>
        <v>0</v>
      </c>
      <c r="Y78" s="204">
        <f>IF(AND(N78&gt;0,[1]CustoContabil!$D$31&gt;0),N78*([1]CustoContabil!$D$45/[1]CustoContabil!$D$31)*W78,0)</f>
        <v>0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7"/>
        <v>0</v>
      </c>
      <c r="L79" s="142"/>
      <c r="M79" s="142"/>
      <c r="N79" s="158">
        <f t="shared" si="8"/>
        <v>0</v>
      </c>
      <c r="P79" s="201">
        <f t="shared" si="9"/>
        <v>19</v>
      </c>
      <c r="Q79" s="866" t="str">
        <f t="shared" si="10"/>
        <v/>
      </c>
      <c r="R79" s="866"/>
      <c r="S79" s="866"/>
      <c r="T79" s="866"/>
      <c r="U79" s="867"/>
      <c r="V79" s="202" t="str">
        <f t="shared" si="11"/>
        <v/>
      </c>
      <c r="W79" s="203">
        <f>IF(OR(V79="",V79=0),0,(#REF!*((1+#REF!)^V79))/(((1+#REF!)^V79)-1))</f>
        <v>0</v>
      </c>
      <c r="X79" s="204">
        <f>IF(AND(K79&gt;0,[1]CustoContabil!$F$31&gt;0),K79*([1]CustoContabil!$F$45/[1]CustoContabil!$F$31)*W79,0)</f>
        <v>0</v>
      </c>
      <c r="Y79" s="204">
        <f>IF(AND(N79&gt;0,[1]CustoContabil!$D$31&gt;0),N79*([1]CustoContabil!$D$45/[1]CustoContabil!$D$31)*W79,0)</f>
        <v>0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7"/>
        <v>0</v>
      </c>
      <c r="L80" s="142"/>
      <c r="M80" s="142"/>
      <c r="N80" s="158">
        <f t="shared" si="8"/>
        <v>0</v>
      </c>
      <c r="P80" s="201">
        <f t="shared" si="9"/>
        <v>20</v>
      </c>
      <c r="Q80" s="866" t="str">
        <f t="shared" si="10"/>
        <v/>
      </c>
      <c r="R80" s="866"/>
      <c r="S80" s="866"/>
      <c r="T80" s="866"/>
      <c r="U80" s="867"/>
      <c r="V80" s="202" t="str">
        <f t="shared" si="11"/>
        <v/>
      </c>
      <c r="W80" s="203">
        <f>IF(OR(V80="",V80=0),0,(#REF!*((1+#REF!)^V80))/(((1+#REF!)^V80)-1))</f>
        <v>0</v>
      </c>
      <c r="X80" s="204">
        <f>IF(AND(K80&gt;0,[1]CustoContabil!$F$31&gt;0),K80*([1]CustoContabil!$F$45/[1]CustoContabil!$F$31)*W80,0)</f>
        <v>0</v>
      </c>
      <c r="Y80" s="204">
        <f>IF(AND(N80&gt;0,[1]CustoContabil!$D$31&gt;0),N80*([1]CustoContabil!$D$45/[1]CustoContabil!$D$31)*W80,0)</f>
        <v>0</v>
      </c>
    </row>
    <row r="81" spans="2:25" ht="15" hidden="1" customHeight="1" x14ac:dyDescent="0.25">
      <c r="B81" s="201"/>
      <c r="C81" s="868" t="s">
        <v>4066</v>
      </c>
      <c r="D81" s="869"/>
      <c r="E81" s="869"/>
      <c r="F81" s="869"/>
      <c r="G81" s="869"/>
      <c r="H81" s="205">
        <v>20</v>
      </c>
      <c r="I81" s="177"/>
      <c r="J81" s="142"/>
      <c r="K81" s="158">
        <f t="shared" si="7"/>
        <v>0</v>
      </c>
      <c r="L81" s="142"/>
      <c r="M81" s="142"/>
      <c r="N81" s="158">
        <f t="shared" si="8"/>
        <v>0</v>
      </c>
      <c r="P81" s="201"/>
      <c r="Q81" s="866" t="str">
        <f t="shared" si="10"/>
        <v>Acessórios</v>
      </c>
      <c r="R81" s="866"/>
      <c r="S81" s="866"/>
      <c r="T81" s="866"/>
      <c r="U81" s="867"/>
      <c r="V81" s="202" t="str">
        <f t="shared" si="11"/>
        <v/>
      </c>
      <c r="W81" s="203">
        <f>IF(OR(V81="",V81=0),0,(#REF!*((1+#REF!)^V81))/(((1+#REF!)^V81)-1))</f>
        <v>0</v>
      </c>
      <c r="X81" s="204">
        <f>IF(AND(K81&gt;0,[1]CustoContabil!$F$31&gt;0),K81*([1]CustoContabil!$F$45/[1]CustoContabil!$F$31)*W81,0)</f>
        <v>0</v>
      </c>
      <c r="Y81" s="204">
        <f>IF(AND(N81&gt;0,[1]CustoContabil!$D$31&gt;0),N81*([1]CustoContabil!$D$45/[1]CustoContabil!$D$31)*W81,0)</f>
        <v>0</v>
      </c>
    </row>
    <row r="82" spans="2:25" ht="15" hidden="1" customHeight="1" x14ac:dyDescent="0.25">
      <c r="B82" s="206"/>
      <c r="C82" s="838" t="s">
        <v>4852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4861</v>
      </c>
      <c r="Q82" s="872"/>
      <c r="R82" s="872"/>
      <c r="S82" s="872"/>
      <c r="T82" s="872"/>
      <c r="U82" s="872"/>
      <c r="V82" s="873"/>
      <c r="W82" s="208" t="s">
        <v>4854</v>
      </c>
      <c r="X82" s="209">
        <f>SUM(X61:X81)</f>
        <v>0</v>
      </c>
      <c r="Y82" s="209">
        <f>SUM(Y61:Y81)</f>
        <v>0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4855</v>
      </c>
      <c r="Q84" s="214"/>
      <c r="R84" s="215">
        <f>[1]RCB!$G$35</f>
        <v>0</v>
      </c>
      <c r="T84" s="213" t="s">
        <v>4855</v>
      </c>
      <c r="U84" s="214"/>
      <c r="V84" s="215">
        <f>[1]RCB!$J$35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[1]RCB!$H$29</f>
        <v>0</v>
      </c>
      <c r="T85" s="213" t="s">
        <v>4075</v>
      </c>
      <c r="U85" s="214"/>
      <c r="V85" s="215">
        <f>[1]RCB!$K$29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</row>
    <row r="91" spans="2:25" ht="15" hidden="1" customHeight="1" x14ac:dyDescent="0.25">
      <c r="B91" s="210"/>
      <c r="C91" s="874" t="s">
        <v>4857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</row>
    <row r="92" spans="2:25" ht="15" hidden="1" customHeight="1" x14ac:dyDescent="0.25">
      <c r="B92" s="206"/>
      <c r="C92" s="838" t="s">
        <v>4862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90"/>
      <c r="M94" s="291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4863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4858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90"/>
      <c r="M104" s="291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3925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>
        <f>[1]Descarte!K187</f>
        <v>0</v>
      </c>
      <c r="L115" s="158">
        <f>[1]Descarte!L187</f>
        <v>0</v>
      </c>
      <c r="M115" s="158">
        <f>[1]Descarte!M187</f>
        <v>0</v>
      </c>
      <c r="N115" s="158">
        <f>[1]Descarte!N187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>
        <f>'[1]M&amp;V'!M874</f>
        <v>0</v>
      </c>
      <c r="L116" s="158">
        <f>'[1]M&amp;V'!N874</f>
        <v>0</v>
      </c>
      <c r="M116" s="158">
        <f>'[1]M&amp;V'!O874</f>
        <v>0</v>
      </c>
      <c r="N116" s="158">
        <f>'[1]M&amp;V'!P874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idden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idden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idden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idden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idden="1" x14ac:dyDescent="0.25">
      <c r="B122" s="217"/>
      <c r="C122" s="840" t="s">
        <v>4859</v>
      </c>
      <c r="D122" s="840"/>
      <c r="E122" s="840"/>
      <c r="F122" s="840"/>
      <c r="G122" s="840"/>
      <c r="H122" s="840"/>
      <c r="I122" s="840"/>
      <c r="J122" s="841"/>
      <c r="K122" s="164">
        <f>SUM(K104,K109,K114:K116,K121)</f>
        <v>0</v>
      </c>
      <c r="L122" s="164">
        <f>SUM(L104,L109,L114:L116,L121)</f>
        <v>0</v>
      </c>
      <c r="M122" s="164">
        <f>SUM(M104,M109,M114:M116,M121)</f>
        <v>0</v>
      </c>
      <c r="N122" s="164">
        <f>SUM(N104,N109,N114:N116,N121)</f>
        <v>0</v>
      </c>
    </row>
    <row r="123" spans="2:16" hidden="1" x14ac:dyDescent="0.25">
      <c r="B123" s="218"/>
      <c r="C123" s="818" t="s">
        <v>4864</v>
      </c>
      <c r="D123" s="818"/>
      <c r="E123" s="818"/>
      <c r="F123" s="818"/>
      <c r="G123" s="818"/>
      <c r="H123" s="818"/>
      <c r="I123" s="818"/>
      <c r="J123" s="819"/>
      <c r="K123" s="209">
        <f>SUM(K101,K122)</f>
        <v>0</v>
      </c>
      <c r="L123" s="209">
        <f>SUM(L101,L122)</f>
        <v>0</v>
      </c>
      <c r="M123" s="209">
        <f>SUM(M101,M122)</f>
        <v>0</v>
      </c>
      <c r="N123" s="209">
        <f>SUM(N101,N122)</f>
        <v>0</v>
      </c>
    </row>
  </sheetData>
  <sheetProtection algorithmName="SHA-512" hashValue="1/GVbLj/qXHXgM6S9Aw2xSUjDIkXP6xDmTlsBrrmbf39PtKXCE4Z4HtdHhmH6TG6gGsp0ULG1yzE6HRXlbhiuQ==" saltValue="KTVUE6amUBRwvA6haxVMkg==" spinCount="100000" sheet="1" objects="1" scenarios="1"/>
  <mergeCells count="179">
    <mergeCell ref="C6:G6"/>
    <mergeCell ref="Q6:U6"/>
    <mergeCell ref="C7:G7"/>
    <mergeCell ref="Q7:U7"/>
    <mergeCell ref="B2:N2"/>
    <mergeCell ref="P2:Y2"/>
    <mergeCell ref="B3:N3"/>
    <mergeCell ref="P3:Y3"/>
    <mergeCell ref="B4:J4"/>
    <mergeCell ref="K4:N4"/>
    <mergeCell ref="P4:X4"/>
    <mergeCell ref="B5:G5"/>
    <mergeCell ref="P5:U5"/>
    <mergeCell ref="C19:G19"/>
    <mergeCell ref="Q19:U19"/>
    <mergeCell ref="C8:G8"/>
    <mergeCell ref="Q8:U8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6:G26"/>
    <mergeCell ref="Q26:U26"/>
    <mergeCell ref="C27:J27"/>
    <mergeCell ref="P27:V27"/>
    <mergeCell ref="B28:J29"/>
    <mergeCell ref="K28:N29"/>
    <mergeCell ref="B30:G30"/>
    <mergeCell ref="C31:G31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43:H43"/>
    <mergeCell ref="C44:H44"/>
    <mergeCell ref="C45:H45"/>
    <mergeCell ref="C32:G32"/>
    <mergeCell ref="C33:G33"/>
    <mergeCell ref="C34:G34"/>
    <mergeCell ref="C35:G35"/>
    <mergeCell ref="C36:G36"/>
    <mergeCell ref="C37:G37"/>
    <mergeCell ref="C38:J38"/>
    <mergeCell ref="C39:J39"/>
    <mergeCell ref="B40:N40"/>
    <mergeCell ref="B41:J41"/>
    <mergeCell ref="K41:N41"/>
    <mergeCell ref="B42:H42"/>
    <mergeCell ref="C62:G62"/>
    <mergeCell ref="Q62:U62"/>
    <mergeCell ref="C63:G63"/>
    <mergeCell ref="Q63:U63"/>
    <mergeCell ref="C46:J46"/>
    <mergeCell ref="C47:J47"/>
    <mergeCell ref="C48:J48"/>
    <mergeCell ref="B49:H49"/>
    <mergeCell ref="C50:H50"/>
    <mergeCell ref="C51:H51"/>
    <mergeCell ref="C52:H52"/>
    <mergeCell ref="C53:J53"/>
    <mergeCell ref="C54:J54"/>
    <mergeCell ref="C55:J55"/>
    <mergeCell ref="B57:N57"/>
    <mergeCell ref="P57:Y57"/>
    <mergeCell ref="B58:N58"/>
    <mergeCell ref="P58:Y58"/>
    <mergeCell ref="B59:J59"/>
    <mergeCell ref="K59:N59"/>
    <mergeCell ref="P59:X59"/>
    <mergeCell ref="B60:G60"/>
    <mergeCell ref="P60:U60"/>
    <mergeCell ref="C61:G61"/>
    <mergeCell ref="Q61:U61"/>
    <mergeCell ref="C75:G75"/>
    <mergeCell ref="Q75:U75"/>
    <mergeCell ref="C64:G64"/>
    <mergeCell ref="Q64:U64"/>
    <mergeCell ref="C65:G65"/>
    <mergeCell ref="Q65:U65"/>
    <mergeCell ref="C66:G66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72:G72"/>
    <mergeCell ref="Q72:U72"/>
    <mergeCell ref="C73:G73"/>
    <mergeCell ref="Q73:U73"/>
    <mergeCell ref="C74:G74"/>
    <mergeCell ref="Q74:U74"/>
    <mergeCell ref="C89:G89"/>
    <mergeCell ref="C90:G90"/>
    <mergeCell ref="C91:J91"/>
    <mergeCell ref="C76:G76"/>
    <mergeCell ref="Q76:U76"/>
    <mergeCell ref="C77:G77"/>
    <mergeCell ref="Q77:U77"/>
    <mergeCell ref="C78:G78"/>
    <mergeCell ref="Q78:U78"/>
    <mergeCell ref="C79:G79"/>
    <mergeCell ref="Q79:U79"/>
    <mergeCell ref="C80:G80"/>
    <mergeCell ref="Q80:U80"/>
    <mergeCell ref="C81:G81"/>
    <mergeCell ref="Q81:U81"/>
    <mergeCell ref="C82:J82"/>
    <mergeCell ref="P82:V82"/>
    <mergeCell ref="B83:J83"/>
    <mergeCell ref="K83:N83"/>
    <mergeCell ref="C84:J84"/>
    <mergeCell ref="B85:G85"/>
    <mergeCell ref="C86:G86"/>
    <mergeCell ref="C87:G87"/>
    <mergeCell ref="C88:G88"/>
    <mergeCell ref="C111:H111"/>
    <mergeCell ref="C112:H112"/>
    <mergeCell ref="C113:H113"/>
    <mergeCell ref="C92:J92"/>
    <mergeCell ref="B93:J93"/>
    <mergeCell ref="K93:N93"/>
    <mergeCell ref="C94:J94"/>
    <mergeCell ref="B95:H95"/>
    <mergeCell ref="C96:H96"/>
    <mergeCell ref="C97:H97"/>
    <mergeCell ref="C98:H98"/>
    <mergeCell ref="C99:J99"/>
    <mergeCell ref="C100:J100"/>
    <mergeCell ref="C101:J101"/>
    <mergeCell ref="B102:N102"/>
    <mergeCell ref="B103:J103"/>
    <mergeCell ref="K103:N103"/>
    <mergeCell ref="C104:J104"/>
    <mergeCell ref="B105:H105"/>
    <mergeCell ref="C106:H106"/>
    <mergeCell ref="C107:H107"/>
    <mergeCell ref="C108:H108"/>
    <mergeCell ref="C109:J109"/>
    <mergeCell ref="B110:H110"/>
    <mergeCell ref="C120:H120"/>
    <mergeCell ref="C121:J121"/>
    <mergeCell ref="C122:J122"/>
    <mergeCell ref="C123:J123"/>
    <mergeCell ref="C114:J114"/>
    <mergeCell ref="C115:J115"/>
    <mergeCell ref="C116:J116"/>
    <mergeCell ref="B117:H117"/>
    <mergeCell ref="C118:H118"/>
    <mergeCell ref="C119:H119"/>
  </mergeCells>
  <conditionalFormatting sqref="K6:K27 K31:K39 L38:N38 M39 K43:K48 N48 K50:K55 L55:N55 K61:K82 K84 K86:K92 K94 K96:K101 K104 K106:K109 K111:K116 K118:K123">
    <cfRule type="cellIs" dxfId="18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9"/>
  <dimension ref="A1:DC103"/>
  <sheetViews>
    <sheetView zoomScale="130" zoomScaleNormal="130" workbookViewId="0">
      <selection activeCell="C31" sqref="C31:C32"/>
    </sheetView>
  </sheetViews>
  <sheetFormatPr defaultColWidth="9.140625" defaultRowHeight="15" x14ac:dyDescent="0.25"/>
  <cols>
    <col min="1" max="1" width="3.7109375" style="76" customWidth="1"/>
    <col min="2" max="2" width="3.7109375" style="103" customWidth="1"/>
    <col min="3" max="3" width="40.7109375" style="76" customWidth="1"/>
    <col min="4" max="4" width="11.7109375" style="76" customWidth="1"/>
    <col min="5" max="5" width="9.85546875" style="219" bestFit="1" customWidth="1"/>
    <col min="6" max="6" width="11.42578125" style="220" bestFit="1" customWidth="1"/>
    <col min="7" max="7" width="12.7109375" style="76" customWidth="1"/>
    <col min="8" max="107" width="11.7109375" style="76" customWidth="1"/>
    <col min="108" max="16384" width="9.140625" style="76"/>
  </cols>
  <sheetData>
    <row r="1" spans="1:107" x14ac:dyDescent="0.25">
      <c r="A1" s="52"/>
    </row>
    <row r="2" spans="1:107" ht="15" customHeight="1" x14ac:dyDescent="0.25">
      <c r="B2" s="649" t="s">
        <v>4865</v>
      </c>
      <c r="C2" s="650"/>
      <c r="D2" s="650"/>
      <c r="E2" s="650"/>
      <c r="F2" s="65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</row>
    <row r="3" spans="1:107" s="103" customFormat="1" ht="15" customHeight="1" x14ac:dyDescent="0.25">
      <c r="B3" s="515"/>
      <c r="C3" s="516"/>
      <c r="D3" s="516"/>
      <c r="E3" s="516"/>
      <c r="F3" s="222"/>
      <c r="G3" s="223" t="s">
        <v>76</v>
      </c>
      <c r="H3" s="224" t="s">
        <v>4866</v>
      </c>
      <c r="I3" s="224" t="s">
        <v>4867</v>
      </c>
      <c r="J3" s="224" t="s">
        <v>4868</v>
      </c>
      <c r="K3" s="224" t="s">
        <v>4869</v>
      </c>
      <c r="L3" s="224" t="s">
        <v>4870</v>
      </c>
      <c r="M3" s="224" t="s">
        <v>4871</v>
      </c>
      <c r="N3" s="224" t="s">
        <v>4872</v>
      </c>
      <c r="O3" s="224" t="s">
        <v>4873</v>
      </c>
      <c r="P3" s="224" t="s">
        <v>4874</v>
      </c>
      <c r="Q3" s="224" t="s">
        <v>4875</v>
      </c>
      <c r="R3" s="224" t="s">
        <v>4876</v>
      </c>
      <c r="S3" s="224" t="s">
        <v>4877</v>
      </c>
      <c r="T3" s="224" t="s">
        <v>4878</v>
      </c>
      <c r="U3" s="224" t="s">
        <v>4879</v>
      </c>
      <c r="V3" s="224" t="s">
        <v>4880</v>
      </c>
      <c r="W3" s="224" t="s">
        <v>4881</v>
      </c>
      <c r="X3" s="224" t="s">
        <v>4882</v>
      </c>
      <c r="Y3" s="224" t="s">
        <v>4883</v>
      </c>
      <c r="Z3" s="224" t="s">
        <v>4884</v>
      </c>
      <c r="AA3" s="224" t="s">
        <v>4885</v>
      </c>
      <c r="AB3" s="224" t="s">
        <v>4886</v>
      </c>
      <c r="AC3" s="224" t="s">
        <v>4887</v>
      </c>
      <c r="AD3" s="224" t="s">
        <v>4888</v>
      </c>
      <c r="AE3" s="224" t="s">
        <v>4889</v>
      </c>
      <c r="AF3" s="224" t="s">
        <v>4890</v>
      </c>
      <c r="AG3" s="224" t="s">
        <v>4891</v>
      </c>
      <c r="AH3" s="224" t="s">
        <v>4892</v>
      </c>
      <c r="AI3" s="224" t="s">
        <v>4893</v>
      </c>
      <c r="AJ3" s="224" t="s">
        <v>4894</v>
      </c>
      <c r="AK3" s="224" t="s">
        <v>4895</v>
      </c>
      <c r="AL3" s="224" t="s">
        <v>4896</v>
      </c>
      <c r="AM3" s="224" t="s">
        <v>4897</v>
      </c>
      <c r="AN3" s="224" t="s">
        <v>4898</v>
      </c>
      <c r="AO3" s="224" t="s">
        <v>4899</v>
      </c>
      <c r="AP3" s="224" t="s">
        <v>4900</v>
      </c>
      <c r="AQ3" s="224" t="s">
        <v>4901</v>
      </c>
      <c r="AR3" s="224" t="s">
        <v>4902</v>
      </c>
      <c r="AS3" s="224" t="s">
        <v>4903</v>
      </c>
      <c r="AT3" s="224" t="s">
        <v>4904</v>
      </c>
      <c r="AU3" s="224" t="s">
        <v>4905</v>
      </c>
      <c r="AV3" s="224" t="s">
        <v>4906</v>
      </c>
      <c r="AW3" s="224" t="s">
        <v>4907</v>
      </c>
      <c r="AX3" s="224" t="s">
        <v>4908</v>
      </c>
      <c r="AY3" s="224" t="s">
        <v>4909</v>
      </c>
      <c r="AZ3" s="224" t="s">
        <v>4910</v>
      </c>
      <c r="BA3" s="224" t="s">
        <v>4911</v>
      </c>
      <c r="BB3" s="224" t="s">
        <v>4912</v>
      </c>
      <c r="BC3" s="224" t="s">
        <v>4913</v>
      </c>
      <c r="BD3" s="224" t="s">
        <v>4914</v>
      </c>
      <c r="BE3" s="224" t="s">
        <v>4915</v>
      </c>
      <c r="BF3" s="224" t="s">
        <v>4916</v>
      </c>
      <c r="BG3" s="224" t="s">
        <v>4917</v>
      </c>
      <c r="BH3" s="224" t="s">
        <v>4918</v>
      </c>
      <c r="BI3" s="224" t="s">
        <v>4919</v>
      </c>
      <c r="BJ3" s="224" t="s">
        <v>4920</v>
      </c>
      <c r="BK3" s="224" t="s">
        <v>4921</v>
      </c>
      <c r="BL3" s="224" t="s">
        <v>4922</v>
      </c>
      <c r="BM3" s="224" t="s">
        <v>4923</v>
      </c>
      <c r="BN3" s="224" t="s">
        <v>4924</v>
      </c>
      <c r="BO3" s="224" t="s">
        <v>4925</v>
      </c>
      <c r="BP3" s="224" t="s">
        <v>4926</v>
      </c>
      <c r="BQ3" s="224" t="s">
        <v>4927</v>
      </c>
      <c r="BR3" s="224" t="s">
        <v>4928</v>
      </c>
      <c r="BS3" s="224" t="s">
        <v>4929</v>
      </c>
      <c r="BT3" s="224" t="s">
        <v>4930</v>
      </c>
      <c r="BU3" s="224" t="s">
        <v>4931</v>
      </c>
      <c r="BV3" s="224" t="s">
        <v>4932</v>
      </c>
      <c r="BW3" s="224" t="s">
        <v>4933</v>
      </c>
      <c r="BX3" s="224" t="s">
        <v>4934</v>
      </c>
      <c r="BY3" s="224" t="s">
        <v>4935</v>
      </c>
      <c r="BZ3" s="224" t="s">
        <v>4936</v>
      </c>
      <c r="CA3" s="224" t="s">
        <v>4937</v>
      </c>
      <c r="CB3" s="224" t="s">
        <v>4938</v>
      </c>
      <c r="CC3" s="224" t="s">
        <v>4939</v>
      </c>
      <c r="CD3" s="224" t="s">
        <v>4940</v>
      </c>
      <c r="CE3" s="224" t="s">
        <v>4941</v>
      </c>
      <c r="CF3" s="224" t="s">
        <v>4942</v>
      </c>
      <c r="CG3" s="224" t="s">
        <v>4943</v>
      </c>
      <c r="CH3" s="224" t="s">
        <v>4944</v>
      </c>
      <c r="CI3" s="224" t="s">
        <v>4945</v>
      </c>
      <c r="CJ3" s="224" t="s">
        <v>4946</v>
      </c>
      <c r="CK3" s="224" t="s">
        <v>4947</v>
      </c>
      <c r="CL3" s="224" t="s">
        <v>4948</v>
      </c>
      <c r="CM3" s="224" t="s">
        <v>4949</v>
      </c>
      <c r="CN3" s="224" t="s">
        <v>4950</v>
      </c>
      <c r="CO3" s="224" t="s">
        <v>4951</v>
      </c>
      <c r="CP3" s="224" t="s">
        <v>4952</v>
      </c>
      <c r="CQ3" s="224" t="s">
        <v>4953</v>
      </c>
      <c r="CR3" s="224" t="s">
        <v>4954</v>
      </c>
      <c r="CS3" s="224" t="s">
        <v>4955</v>
      </c>
      <c r="CT3" s="224" t="s">
        <v>4956</v>
      </c>
      <c r="CU3" s="224" t="s">
        <v>4957</v>
      </c>
      <c r="CV3" s="224" t="s">
        <v>4958</v>
      </c>
      <c r="CW3" s="224" t="s">
        <v>4959</v>
      </c>
      <c r="CX3" s="224" t="s">
        <v>4960</v>
      </c>
      <c r="CY3" s="224" t="s">
        <v>4961</v>
      </c>
      <c r="CZ3" s="224" t="s">
        <v>4962</v>
      </c>
      <c r="DA3" s="224" t="s">
        <v>4963</v>
      </c>
      <c r="DB3" s="224" t="s">
        <v>4964</v>
      </c>
      <c r="DC3" s="224" t="s">
        <v>4965</v>
      </c>
    </row>
    <row r="4" spans="1:107" s="103" customFormat="1" ht="15" customHeight="1" x14ac:dyDescent="0.25">
      <c r="B4" s="515">
        <v>1</v>
      </c>
      <c r="C4" s="307" t="s">
        <v>4195</v>
      </c>
      <c r="D4" s="516"/>
      <c r="E4" s="516"/>
      <c r="F4" s="222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</row>
    <row r="5" spans="1:107" ht="15" customHeight="1" x14ac:dyDescent="0.25">
      <c r="B5" s="515">
        <v>2</v>
      </c>
      <c r="C5" s="225" t="s">
        <v>4196</v>
      </c>
      <c r="D5" s="225"/>
      <c r="E5" s="226"/>
      <c r="F5" s="227"/>
      <c r="G5" s="22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spans="1:107" ht="15" customHeight="1" x14ac:dyDescent="0.25">
      <c r="B6" s="515">
        <v>3</v>
      </c>
      <c r="C6" s="225" t="s">
        <v>4966</v>
      </c>
      <c r="D6" s="225"/>
      <c r="E6" s="231" t="s">
        <v>4199</v>
      </c>
      <c r="F6" s="232" t="s">
        <v>4259</v>
      </c>
      <c r="G6" s="554">
        <f>SUM(H6:DC6)</f>
        <v>0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</row>
    <row r="7" spans="1:107" ht="15" customHeight="1" x14ac:dyDescent="0.25">
      <c r="B7" s="515">
        <v>4</v>
      </c>
      <c r="C7" s="225" t="s">
        <v>3980</v>
      </c>
      <c r="D7" s="225"/>
      <c r="E7" s="231"/>
      <c r="F7" s="232" t="s">
        <v>4257</v>
      </c>
      <c r="G7" s="235">
        <f>SUM(H7:DC7)</f>
        <v>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</row>
    <row r="8" spans="1:107" ht="15" customHeight="1" x14ac:dyDescent="0.25">
      <c r="B8" s="544">
        <v>5</v>
      </c>
      <c r="C8" s="225" t="s">
        <v>4205</v>
      </c>
      <c r="D8" s="225"/>
      <c r="E8" s="231" t="s">
        <v>3857</v>
      </c>
      <c r="F8" s="232" t="s">
        <v>4206</v>
      </c>
      <c r="G8" s="554">
        <f>SUM(H8:DC8)</f>
        <v>0</v>
      </c>
      <c r="H8" s="236">
        <f>(H6*H7)/1000</f>
        <v>0</v>
      </c>
      <c r="I8" s="236">
        <f t="shared" ref="I8:Y8" si="0">(I6*I7)/1000</f>
        <v>0</v>
      </c>
      <c r="J8" s="236">
        <f t="shared" si="0"/>
        <v>0</v>
      </c>
      <c r="K8" s="236">
        <f t="shared" si="0"/>
        <v>0</v>
      </c>
      <c r="L8" s="236">
        <f t="shared" si="0"/>
        <v>0</v>
      </c>
      <c r="M8" s="236">
        <f t="shared" si="0"/>
        <v>0</v>
      </c>
      <c r="N8" s="236">
        <f t="shared" si="0"/>
        <v>0</v>
      </c>
      <c r="O8" s="236">
        <f t="shared" si="0"/>
        <v>0</v>
      </c>
      <c r="P8" s="236">
        <f t="shared" si="0"/>
        <v>0</v>
      </c>
      <c r="Q8" s="236">
        <f t="shared" si="0"/>
        <v>0</v>
      </c>
      <c r="R8" s="236">
        <f t="shared" si="0"/>
        <v>0</v>
      </c>
      <c r="S8" s="236">
        <f t="shared" si="0"/>
        <v>0</v>
      </c>
      <c r="T8" s="236">
        <f t="shared" si="0"/>
        <v>0</v>
      </c>
      <c r="U8" s="236">
        <f t="shared" si="0"/>
        <v>0</v>
      </c>
      <c r="V8" s="236">
        <f t="shared" si="0"/>
        <v>0</v>
      </c>
      <c r="W8" s="236">
        <f t="shared" si="0"/>
        <v>0</v>
      </c>
      <c r="X8" s="236">
        <f t="shared" si="0"/>
        <v>0</v>
      </c>
      <c r="Y8" s="236">
        <f t="shared" si="0"/>
        <v>0</v>
      </c>
      <c r="Z8" s="236">
        <f t="shared" ref="Z8:CK8" si="1">(Z6*Z7)/1000</f>
        <v>0</v>
      </c>
      <c r="AA8" s="236">
        <f t="shared" si="1"/>
        <v>0</v>
      </c>
      <c r="AB8" s="236">
        <f t="shared" si="1"/>
        <v>0</v>
      </c>
      <c r="AC8" s="236">
        <f t="shared" si="1"/>
        <v>0</v>
      </c>
      <c r="AD8" s="236">
        <f t="shared" si="1"/>
        <v>0</v>
      </c>
      <c r="AE8" s="236">
        <f t="shared" si="1"/>
        <v>0</v>
      </c>
      <c r="AF8" s="236">
        <f t="shared" si="1"/>
        <v>0</v>
      </c>
      <c r="AG8" s="236">
        <f t="shared" si="1"/>
        <v>0</v>
      </c>
      <c r="AH8" s="236">
        <f t="shared" si="1"/>
        <v>0</v>
      </c>
      <c r="AI8" s="236">
        <f t="shared" si="1"/>
        <v>0</v>
      </c>
      <c r="AJ8" s="236">
        <f t="shared" si="1"/>
        <v>0</v>
      </c>
      <c r="AK8" s="236">
        <f t="shared" si="1"/>
        <v>0</v>
      </c>
      <c r="AL8" s="236">
        <f t="shared" si="1"/>
        <v>0</v>
      </c>
      <c r="AM8" s="236">
        <f t="shared" si="1"/>
        <v>0</v>
      </c>
      <c r="AN8" s="236">
        <f t="shared" si="1"/>
        <v>0</v>
      </c>
      <c r="AO8" s="236">
        <f t="shared" si="1"/>
        <v>0</v>
      </c>
      <c r="AP8" s="236">
        <f t="shared" si="1"/>
        <v>0</v>
      </c>
      <c r="AQ8" s="236">
        <f t="shared" si="1"/>
        <v>0</v>
      </c>
      <c r="AR8" s="236">
        <f t="shared" si="1"/>
        <v>0</v>
      </c>
      <c r="AS8" s="236">
        <f t="shared" si="1"/>
        <v>0</v>
      </c>
      <c r="AT8" s="236">
        <f t="shared" si="1"/>
        <v>0</v>
      </c>
      <c r="AU8" s="236">
        <f t="shared" si="1"/>
        <v>0</v>
      </c>
      <c r="AV8" s="236">
        <f t="shared" si="1"/>
        <v>0</v>
      </c>
      <c r="AW8" s="236">
        <f t="shared" si="1"/>
        <v>0</v>
      </c>
      <c r="AX8" s="236">
        <f t="shared" si="1"/>
        <v>0</v>
      </c>
      <c r="AY8" s="236">
        <f t="shared" si="1"/>
        <v>0</v>
      </c>
      <c r="AZ8" s="236">
        <f t="shared" si="1"/>
        <v>0</v>
      </c>
      <c r="BA8" s="236">
        <f t="shared" si="1"/>
        <v>0</v>
      </c>
      <c r="BB8" s="236">
        <f t="shared" si="1"/>
        <v>0</v>
      </c>
      <c r="BC8" s="236">
        <f t="shared" si="1"/>
        <v>0</v>
      </c>
      <c r="BD8" s="236">
        <f t="shared" si="1"/>
        <v>0</v>
      </c>
      <c r="BE8" s="236">
        <f t="shared" si="1"/>
        <v>0</v>
      </c>
      <c r="BF8" s="236">
        <f t="shared" si="1"/>
        <v>0</v>
      </c>
      <c r="BG8" s="236">
        <f t="shared" si="1"/>
        <v>0</v>
      </c>
      <c r="BH8" s="236">
        <f t="shared" si="1"/>
        <v>0</v>
      </c>
      <c r="BI8" s="236">
        <f t="shared" si="1"/>
        <v>0</v>
      </c>
      <c r="BJ8" s="236">
        <f t="shared" si="1"/>
        <v>0</v>
      </c>
      <c r="BK8" s="236">
        <f t="shared" si="1"/>
        <v>0</v>
      </c>
      <c r="BL8" s="236">
        <f t="shared" si="1"/>
        <v>0</v>
      </c>
      <c r="BM8" s="236">
        <f t="shared" si="1"/>
        <v>0</v>
      </c>
      <c r="BN8" s="236">
        <f t="shared" si="1"/>
        <v>0</v>
      </c>
      <c r="BO8" s="236">
        <f t="shared" si="1"/>
        <v>0</v>
      </c>
      <c r="BP8" s="236">
        <f t="shared" si="1"/>
        <v>0</v>
      </c>
      <c r="BQ8" s="236">
        <f t="shared" si="1"/>
        <v>0</v>
      </c>
      <c r="BR8" s="236">
        <f t="shared" si="1"/>
        <v>0</v>
      </c>
      <c r="BS8" s="236">
        <f t="shared" si="1"/>
        <v>0</v>
      </c>
      <c r="BT8" s="236">
        <f t="shared" si="1"/>
        <v>0</v>
      </c>
      <c r="BU8" s="236">
        <f t="shared" si="1"/>
        <v>0</v>
      </c>
      <c r="BV8" s="236">
        <f t="shared" si="1"/>
        <v>0</v>
      </c>
      <c r="BW8" s="236">
        <f t="shared" si="1"/>
        <v>0</v>
      </c>
      <c r="BX8" s="236">
        <f t="shared" si="1"/>
        <v>0</v>
      </c>
      <c r="BY8" s="236">
        <f t="shared" si="1"/>
        <v>0</v>
      </c>
      <c r="BZ8" s="236">
        <f t="shared" si="1"/>
        <v>0</v>
      </c>
      <c r="CA8" s="236">
        <f t="shared" si="1"/>
        <v>0</v>
      </c>
      <c r="CB8" s="236">
        <f t="shared" si="1"/>
        <v>0</v>
      </c>
      <c r="CC8" s="236">
        <f t="shared" si="1"/>
        <v>0</v>
      </c>
      <c r="CD8" s="236">
        <f t="shared" si="1"/>
        <v>0</v>
      </c>
      <c r="CE8" s="236">
        <f t="shared" si="1"/>
        <v>0</v>
      </c>
      <c r="CF8" s="236">
        <f t="shared" si="1"/>
        <v>0</v>
      </c>
      <c r="CG8" s="236">
        <f t="shared" si="1"/>
        <v>0</v>
      </c>
      <c r="CH8" s="236">
        <f t="shared" si="1"/>
        <v>0</v>
      </c>
      <c r="CI8" s="236">
        <f t="shared" si="1"/>
        <v>0</v>
      </c>
      <c r="CJ8" s="236">
        <f t="shared" si="1"/>
        <v>0</v>
      </c>
      <c r="CK8" s="236">
        <f t="shared" si="1"/>
        <v>0</v>
      </c>
      <c r="CL8" s="236">
        <f t="shared" ref="CL8:DC8" si="2">(CL6*CL7)/1000</f>
        <v>0</v>
      </c>
      <c r="CM8" s="236">
        <f t="shared" si="2"/>
        <v>0</v>
      </c>
      <c r="CN8" s="236">
        <f t="shared" si="2"/>
        <v>0</v>
      </c>
      <c r="CO8" s="236">
        <f t="shared" si="2"/>
        <v>0</v>
      </c>
      <c r="CP8" s="236">
        <f t="shared" si="2"/>
        <v>0</v>
      </c>
      <c r="CQ8" s="236">
        <f t="shared" si="2"/>
        <v>0</v>
      </c>
      <c r="CR8" s="236">
        <f t="shared" si="2"/>
        <v>0</v>
      </c>
      <c r="CS8" s="236">
        <f t="shared" si="2"/>
        <v>0</v>
      </c>
      <c r="CT8" s="236">
        <f t="shared" si="2"/>
        <v>0</v>
      </c>
      <c r="CU8" s="236">
        <f t="shared" si="2"/>
        <v>0</v>
      </c>
      <c r="CV8" s="236">
        <f t="shared" si="2"/>
        <v>0</v>
      </c>
      <c r="CW8" s="236">
        <f t="shared" si="2"/>
        <v>0</v>
      </c>
      <c r="CX8" s="236">
        <f t="shared" si="2"/>
        <v>0</v>
      </c>
      <c r="CY8" s="236">
        <f t="shared" si="2"/>
        <v>0</v>
      </c>
      <c r="CZ8" s="236">
        <f t="shared" si="2"/>
        <v>0</v>
      </c>
      <c r="DA8" s="236">
        <f t="shared" si="2"/>
        <v>0</v>
      </c>
      <c r="DB8" s="236">
        <f t="shared" si="2"/>
        <v>0</v>
      </c>
      <c r="DC8" s="236">
        <f t="shared" si="2"/>
        <v>0</v>
      </c>
    </row>
    <row r="9" spans="1:107" ht="15" customHeight="1" x14ac:dyDescent="0.25">
      <c r="B9" s="899">
        <v>6</v>
      </c>
      <c r="C9" s="225" t="s">
        <v>4317</v>
      </c>
      <c r="D9" s="225"/>
      <c r="E9" s="231"/>
      <c r="F9" s="232" t="s">
        <v>4318</v>
      </c>
      <c r="G9" s="237" t="str">
        <f>IF(COUNTA(H9:DC9)=0,"",IF(OR(LARGE(H9:DC9,1)&gt;1,SMALL(H9:DC9,1)&lt;0),"ERRO",""))</f>
        <v/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</row>
    <row r="10" spans="1:107" ht="15" customHeight="1" x14ac:dyDescent="0.25">
      <c r="B10" s="901"/>
      <c r="C10" s="225" t="s">
        <v>4459</v>
      </c>
      <c r="D10" s="225"/>
      <c r="E10" s="231" t="s">
        <v>3857</v>
      </c>
      <c r="F10" s="232" t="s">
        <v>4320</v>
      </c>
      <c r="G10" s="554">
        <f>SUM(H10:DC10)</f>
        <v>0</v>
      </c>
      <c r="H10" s="236">
        <f>H8*H9</f>
        <v>0</v>
      </c>
      <c r="I10" s="236">
        <f t="shared" ref="I10:Y10" si="3">I8*I9</f>
        <v>0</v>
      </c>
      <c r="J10" s="236">
        <f t="shared" si="3"/>
        <v>0</v>
      </c>
      <c r="K10" s="236">
        <f t="shared" si="3"/>
        <v>0</v>
      </c>
      <c r="L10" s="236">
        <f t="shared" si="3"/>
        <v>0</v>
      </c>
      <c r="M10" s="236">
        <f t="shared" si="3"/>
        <v>0</v>
      </c>
      <c r="N10" s="236">
        <f t="shared" si="3"/>
        <v>0</v>
      </c>
      <c r="O10" s="236">
        <f t="shared" si="3"/>
        <v>0</v>
      </c>
      <c r="P10" s="236">
        <f t="shared" si="3"/>
        <v>0</v>
      </c>
      <c r="Q10" s="236">
        <f t="shared" si="3"/>
        <v>0</v>
      </c>
      <c r="R10" s="236">
        <f t="shared" si="3"/>
        <v>0</v>
      </c>
      <c r="S10" s="236">
        <f t="shared" si="3"/>
        <v>0</v>
      </c>
      <c r="T10" s="236">
        <f t="shared" si="3"/>
        <v>0</v>
      </c>
      <c r="U10" s="236">
        <f t="shared" si="3"/>
        <v>0</v>
      </c>
      <c r="V10" s="236">
        <f t="shared" si="3"/>
        <v>0</v>
      </c>
      <c r="W10" s="236">
        <f t="shared" si="3"/>
        <v>0</v>
      </c>
      <c r="X10" s="236">
        <f t="shared" si="3"/>
        <v>0</v>
      </c>
      <c r="Y10" s="236">
        <f t="shared" si="3"/>
        <v>0</v>
      </c>
      <c r="Z10" s="236">
        <f t="shared" ref="Z10:CK10" si="4">Z8*Z9</f>
        <v>0</v>
      </c>
      <c r="AA10" s="236">
        <f t="shared" si="4"/>
        <v>0</v>
      </c>
      <c r="AB10" s="236">
        <f t="shared" si="4"/>
        <v>0</v>
      </c>
      <c r="AC10" s="236">
        <f t="shared" si="4"/>
        <v>0</v>
      </c>
      <c r="AD10" s="236">
        <f t="shared" si="4"/>
        <v>0</v>
      </c>
      <c r="AE10" s="236">
        <f t="shared" si="4"/>
        <v>0</v>
      </c>
      <c r="AF10" s="236">
        <f t="shared" si="4"/>
        <v>0</v>
      </c>
      <c r="AG10" s="236">
        <f t="shared" si="4"/>
        <v>0</v>
      </c>
      <c r="AH10" s="236">
        <f t="shared" si="4"/>
        <v>0</v>
      </c>
      <c r="AI10" s="236">
        <f t="shared" si="4"/>
        <v>0</v>
      </c>
      <c r="AJ10" s="236">
        <f t="shared" si="4"/>
        <v>0</v>
      </c>
      <c r="AK10" s="236">
        <f t="shared" si="4"/>
        <v>0</v>
      </c>
      <c r="AL10" s="236">
        <f t="shared" si="4"/>
        <v>0</v>
      </c>
      <c r="AM10" s="236">
        <f t="shared" si="4"/>
        <v>0</v>
      </c>
      <c r="AN10" s="236">
        <f t="shared" si="4"/>
        <v>0</v>
      </c>
      <c r="AO10" s="236">
        <f t="shared" si="4"/>
        <v>0</v>
      </c>
      <c r="AP10" s="236">
        <f t="shared" si="4"/>
        <v>0</v>
      </c>
      <c r="AQ10" s="236">
        <f t="shared" si="4"/>
        <v>0</v>
      </c>
      <c r="AR10" s="236">
        <f t="shared" si="4"/>
        <v>0</v>
      </c>
      <c r="AS10" s="236">
        <f t="shared" si="4"/>
        <v>0</v>
      </c>
      <c r="AT10" s="236">
        <f t="shared" si="4"/>
        <v>0</v>
      </c>
      <c r="AU10" s="236">
        <f t="shared" si="4"/>
        <v>0</v>
      </c>
      <c r="AV10" s="236">
        <f t="shared" si="4"/>
        <v>0</v>
      </c>
      <c r="AW10" s="236">
        <f t="shared" si="4"/>
        <v>0</v>
      </c>
      <c r="AX10" s="236">
        <f t="shared" si="4"/>
        <v>0</v>
      </c>
      <c r="AY10" s="236">
        <f t="shared" si="4"/>
        <v>0</v>
      </c>
      <c r="AZ10" s="236">
        <f t="shared" si="4"/>
        <v>0</v>
      </c>
      <c r="BA10" s="236">
        <f t="shared" si="4"/>
        <v>0</v>
      </c>
      <c r="BB10" s="236">
        <f t="shared" si="4"/>
        <v>0</v>
      </c>
      <c r="BC10" s="236">
        <f t="shared" si="4"/>
        <v>0</v>
      </c>
      <c r="BD10" s="236">
        <f t="shared" si="4"/>
        <v>0</v>
      </c>
      <c r="BE10" s="236">
        <f t="shared" si="4"/>
        <v>0</v>
      </c>
      <c r="BF10" s="236">
        <f t="shared" si="4"/>
        <v>0</v>
      </c>
      <c r="BG10" s="236">
        <f t="shared" si="4"/>
        <v>0</v>
      </c>
      <c r="BH10" s="236">
        <f t="shared" si="4"/>
        <v>0</v>
      </c>
      <c r="BI10" s="236">
        <f t="shared" si="4"/>
        <v>0</v>
      </c>
      <c r="BJ10" s="236">
        <f t="shared" si="4"/>
        <v>0</v>
      </c>
      <c r="BK10" s="236">
        <f t="shared" si="4"/>
        <v>0</v>
      </c>
      <c r="BL10" s="236">
        <f t="shared" si="4"/>
        <v>0</v>
      </c>
      <c r="BM10" s="236">
        <f t="shared" si="4"/>
        <v>0</v>
      </c>
      <c r="BN10" s="236">
        <f t="shared" si="4"/>
        <v>0</v>
      </c>
      <c r="BO10" s="236">
        <f t="shared" si="4"/>
        <v>0</v>
      </c>
      <c r="BP10" s="236">
        <f t="shared" si="4"/>
        <v>0</v>
      </c>
      <c r="BQ10" s="236">
        <f t="shared" si="4"/>
        <v>0</v>
      </c>
      <c r="BR10" s="236">
        <f t="shared" si="4"/>
        <v>0</v>
      </c>
      <c r="BS10" s="236">
        <f t="shared" si="4"/>
        <v>0</v>
      </c>
      <c r="BT10" s="236">
        <f t="shared" si="4"/>
        <v>0</v>
      </c>
      <c r="BU10" s="236">
        <f t="shared" si="4"/>
        <v>0</v>
      </c>
      <c r="BV10" s="236">
        <f t="shared" si="4"/>
        <v>0</v>
      </c>
      <c r="BW10" s="236">
        <f t="shared" si="4"/>
        <v>0</v>
      </c>
      <c r="BX10" s="236">
        <f t="shared" si="4"/>
        <v>0</v>
      </c>
      <c r="BY10" s="236">
        <f t="shared" si="4"/>
        <v>0</v>
      </c>
      <c r="BZ10" s="236">
        <f t="shared" si="4"/>
        <v>0</v>
      </c>
      <c r="CA10" s="236">
        <f t="shared" si="4"/>
        <v>0</v>
      </c>
      <c r="CB10" s="236">
        <f t="shared" si="4"/>
        <v>0</v>
      </c>
      <c r="CC10" s="236">
        <f t="shared" si="4"/>
        <v>0</v>
      </c>
      <c r="CD10" s="236">
        <f t="shared" si="4"/>
        <v>0</v>
      </c>
      <c r="CE10" s="236">
        <f t="shared" si="4"/>
        <v>0</v>
      </c>
      <c r="CF10" s="236">
        <f t="shared" si="4"/>
        <v>0</v>
      </c>
      <c r="CG10" s="236">
        <f t="shared" si="4"/>
        <v>0</v>
      </c>
      <c r="CH10" s="236">
        <f t="shared" si="4"/>
        <v>0</v>
      </c>
      <c r="CI10" s="236">
        <f t="shared" si="4"/>
        <v>0</v>
      </c>
      <c r="CJ10" s="236">
        <f t="shared" si="4"/>
        <v>0</v>
      </c>
      <c r="CK10" s="236">
        <f t="shared" si="4"/>
        <v>0</v>
      </c>
      <c r="CL10" s="236">
        <f t="shared" ref="CL10:DC10" si="5">CL8*CL9</f>
        <v>0</v>
      </c>
      <c r="CM10" s="236">
        <f t="shared" si="5"/>
        <v>0</v>
      </c>
      <c r="CN10" s="236">
        <f t="shared" si="5"/>
        <v>0</v>
      </c>
      <c r="CO10" s="236">
        <f t="shared" si="5"/>
        <v>0</v>
      </c>
      <c r="CP10" s="236">
        <f t="shared" si="5"/>
        <v>0</v>
      </c>
      <c r="CQ10" s="236">
        <f t="shared" si="5"/>
        <v>0</v>
      </c>
      <c r="CR10" s="236">
        <f t="shared" si="5"/>
        <v>0</v>
      </c>
      <c r="CS10" s="236">
        <f t="shared" si="5"/>
        <v>0</v>
      </c>
      <c r="CT10" s="236">
        <f t="shared" si="5"/>
        <v>0</v>
      </c>
      <c r="CU10" s="236">
        <f t="shared" si="5"/>
        <v>0</v>
      </c>
      <c r="CV10" s="236">
        <f t="shared" si="5"/>
        <v>0</v>
      </c>
      <c r="CW10" s="236">
        <f t="shared" si="5"/>
        <v>0</v>
      </c>
      <c r="CX10" s="236">
        <f t="shared" si="5"/>
        <v>0</v>
      </c>
      <c r="CY10" s="236">
        <f t="shared" si="5"/>
        <v>0</v>
      </c>
      <c r="CZ10" s="236">
        <f t="shared" si="5"/>
        <v>0</v>
      </c>
      <c r="DA10" s="236">
        <f t="shared" si="5"/>
        <v>0</v>
      </c>
      <c r="DB10" s="236">
        <f t="shared" si="5"/>
        <v>0</v>
      </c>
      <c r="DC10" s="236">
        <f t="shared" si="5"/>
        <v>0</v>
      </c>
    </row>
    <row r="11" spans="1:107" ht="15" customHeight="1" x14ac:dyDescent="0.25">
      <c r="B11" s="899">
        <v>7</v>
      </c>
      <c r="C11" s="225" t="s">
        <v>4207</v>
      </c>
      <c r="D11" s="225"/>
      <c r="E11" s="231" t="s">
        <v>4208</v>
      </c>
      <c r="F11" s="232"/>
      <c r="G11" s="237" t="str">
        <f>IF(COUNTA(H11:DC11)=0,"",IF(OR(LARGE(H11:DC11,1)&gt;24,SMALL(H11:DC11,1)&lt;0),"ERRO",""))</f>
        <v/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</row>
    <row r="12" spans="1:107" ht="15" customHeight="1" x14ac:dyDescent="0.25">
      <c r="B12" s="900"/>
      <c r="C12" s="239" t="s">
        <v>4209</v>
      </c>
      <c r="D12" s="239"/>
      <c r="E12" s="558" t="s">
        <v>4210</v>
      </c>
      <c r="F12" s="232"/>
      <c r="G12" s="237" t="str">
        <f>IF(COUNTA(H12:DC12)=0,"",IF(OR(LARGE(H12:DC12,1)&gt;365,SMALL(H12:DC12,1)&lt;0),"ERRO",""))</f>
        <v/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</row>
    <row r="13" spans="1:107" ht="15" customHeight="1" x14ac:dyDescent="0.25">
      <c r="B13" s="901"/>
      <c r="C13" s="225" t="s">
        <v>4211</v>
      </c>
      <c r="D13" s="225"/>
      <c r="E13" s="231" t="s">
        <v>4212</v>
      </c>
      <c r="F13" s="232" t="s">
        <v>4213</v>
      </c>
      <c r="G13" s="237" t="str">
        <f>IF(COUNTA(H13:DC13)=0,"",IF(OR(LARGE(H13:DC13,1)&gt;8760,SMALL(H13:DC13,1)&lt;0),"ERRO",""))</f>
        <v/>
      </c>
      <c r="H13" s="241">
        <f>H11*H12</f>
        <v>0</v>
      </c>
      <c r="I13" s="241">
        <f t="shared" ref="I13:Y13" si="6">I11*I12</f>
        <v>0</v>
      </c>
      <c r="J13" s="241">
        <f t="shared" si="6"/>
        <v>0</v>
      </c>
      <c r="K13" s="241">
        <f t="shared" si="6"/>
        <v>0</v>
      </c>
      <c r="L13" s="241">
        <f t="shared" si="6"/>
        <v>0</v>
      </c>
      <c r="M13" s="241">
        <f t="shared" si="6"/>
        <v>0</v>
      </c>
      <c r="N13" s="241">
        <f t="shared" si="6"/>
        <v>0</v>
      </c>
      <c r="O13" s="241">
        <f t="shared" si="6"/>
        <v>0</v>
      </c>
      <c r="P13" s="241">
        <f t="shared" si="6"/>
        <v>0</v>
      </c>
      <c r="Q13" s="241">
        <f t="shared" si="6"/>
        <v>0</v>
      </c>
      <c r="R13" s="241">
        <f t="shared" si="6"/>
        <v>0</v>
      </c>
      <c r="S13" s="241">
        <f t="shared" si="6"/>
        <v>0</v>
      </c>
      <c r="T13" s="241">
        <f t="shared" si="6"/>
        <v>0</v>
      </c>
      <c r="U13" s="241">
        <f t="shared" si="6"/>
        <v>0</v>
      </c>
      <c r="V13" s="241">
        <f t="shared" si="6"/>
        <v>0</v>
      </c>
      <c r="W13" s="241">
        <f t="shared" si="6"/>
        <v>0</v>
      </c>
      <c r="X13" s="241">
        <f t="shared" si="6"/>
        <v>0</v>
      </c>
      <c r="Y13" s="241">
        <f t="shared" si="6"/>
        <v>0</v>
      </c>
      <c r="Z13" s="241">
        <f t="shared" ref="Z13:CK13" si="7">Z11*Z12</f>
        <v>0</v>
      </c>
      <c r="AA13" s="241">
        <f t="shared" si="7"/>
        <v>0</v>
      </c>
      <c r="AB13" s="241">
        <f t="shared" si="7"/>
        <v>0</v>
      </c>
      <c r="AC13" s="241">
        <f t="shared" si="7"/>
        <v>0</v>
      </c>
      <c r="AD13" s="241">
        <f t="shared" si="7"/>
        <v>0</v>
      </c>
      <c r="AE13" s="241">
        <f t="shared" si="7"/>
        <v>0</v>
      </c>
      <c r="AF13" s="241">
        <f t="shared" si="7"/>
        <v>0</v>
      </c>
      <c r="AG13" s="241">
        <f t="shared" si="7"/>
        <v>0</v>
      </c>
      <c r="AH13" s="241">
        <f t="shared" si="7"/>
        <v>0</v>
      </c>
      <c r="AI13" s="241">
        <f t="shared" si="7"/>
        <v>0</v>
      </c>
      <c r="AJ13" s="241">
        <f t="shared" si="7"/>
        <v>0</v>
      </c>
      <c r="AK13" s="241">
        <f t="shared" si="7"/>
        <v>0</v>
      </c>
      <c r="AL13" s="241">
        <f t="shared" si="7"/>
        <v>0</v>
      </c>
      <c r="AM13" s="241">
        <f t="shared" si="7"/>
        <v>0</v>
      </c>
      <c r="AN13" s="241">
        <f t="shared" si="7"/>
        <v>0</v>
      </c>
      <c r="AO13" s="241">
        <f t="shared" si="7"/>
        <v>0</v>
      </c>
      <c r="AP13" s="241">
        <f t="shared" si="7"/>
        <v>0</v>
      </c>
      <c r="AQ13" s="241">
        <f t="shared" si="7"/>
        <v>0</v>
      </c>
      <c r="AR13" s="241">
        <f t="shared" si="7"/>
        <v>0</v>
      </c>
      <c r="AS13" s="241">
        <f t="shared" si="7"/>
        <v>0</v>
      </c>
      <c r="AT13" s="241">
        <f t="shared" si="7"/>
        <v>0</v>
      </c>
      <c r="AU13" s="241">
        <f t="shared" si="7"/>
        <v>0</v>
      </c>
      <c r="AV13" s="241">
        <f t="shared" si="7"/>
        <v>0</v>
      </c>
      <c r="AW13" s="241">
        <f t="shared" si="7"/>
        <v>0</v>
      </c>
      <c r="AX13" s="241">
        <f t="shared" si="7"/>
        <v>0</v>
      </c>
      <c r="AY13" s="241">
        <f t="shared" si="7"/>
        <v>0</v>
      </c>
      <c r="AZ13" s="241">
        <f t="shared" si="7"/>
        <v>0</v>
      </c>
      <c r="BA13" s="241">
        <f t="shared" si="7"/>
        <v>0</v>
      </c>
      <c r="BB13" s="241">
        <f t="shared" si="7"/>
        <v>0</v>
      </c>
      <c r="BC13" s="241">
        <f t="shared" si="7"/>
        <v>0</v>
      </c>
      <c r="BD13" s="241">
        <f t="shared" si="7"/>
        <v>0</v>
      </c>
      <c r="BE13" s="241">
        <f t="shared" si="7"/>
        <v>0</v>
      </c>
      <c r="BF13" s="241">
        <f t="shared" si="7"/>
        <v>0</v>
      </c>
      <c r="BG13" s="241">
        <f t="shared" si="7"/>
        <v>0</v>
      </c>
      <c r="BH13" s="241">
        <f t="shared" si="7"/>
        <v>0</v>
      </c>
      <c r="BI13" s="241">
        <f t="shared" si="7"/>
        <v>0</v>
      </c>
      <c r="BJ13" s="241">
        <f t="shared" si="7"/>
        <v>0</v>
      </c>
      <c r="BK13" s="241">
        <f t="shared" si="7"/>
        <v>0</v>
      </c>
      <c r="BL13" s="241">
        <f t="shared" si="7"/>
        <v>0</v>
      </c>
      <c r="BM13" s="241">
        <f t="shared" si="7"/>
        <v>0</v>
      </c>
      <c r="BN13" s="241">
        <f t="shared" si="7"/>
        <v>0</v>
      </c>
      <c r="BO13" s="241">
        <f t="shared" si="7"/>
        <v>0</v>
      </c>
      <c r="BP13" s="241">
        <f t="shared" si="7"/>
        <v>0</v>
      </c>
      <c r="BQ13" s="241">
        <f t="shared" si="7"/>
        <v>0</v>
      </c>
      <c r="BR13" s="241">
        <f t="shared" si="7"/>
        <v>0</v>
      </c>
      <c r="BS13" s="241">
        <f t="shared" si="7"/>
        <v>0</v>
      </c>
      <c r="BT13" s="241">
        <f t="shared" si="7"/>
        <v>0</v>
      </c>
      <c r="BU13" s="241">
        <f t="shared" si="7"/>
        <v>0</v>
      </c>
      <c r="BV13" s="241">
        <f t="shared" si="7"/>
        <v>0</v>
      </c>
      <c r="BW13" s="241">
        <f t="shared" si="7"/>
        <v>0</v>
      </c>
      <c r="BX13" s="241">
        <f t="shared" si="7"/>
        <v>0</v>
      </c>
      <c r="BY13" s="241">
        <f t="shared" si="7"/>
        <v>0</v>
      </c>
      <c r="BZ13" s="241">
        <f t="shared" si="7"/>
        <v>0</v>
      </c>
      <c r="CA13" s="241">
        <f t="shared" si="7"/>
        <v>0</v>
      </c>
      <c r="CB13" s="241">
        <f t="shared" si="7"/>
        <v>0</v>
      </c>
      <c r="CC13" s="241">
        <f t="shared" si="7"/>
        <v>0</v>
      </c>
      <c r="CD13" s="241">
        <f t="shared" si="7"/>
        <v>0</v>
      </c>
      <c r="CE13" s="241">
        <f t="shared" si="7"/>
        <v>0</v>
      </c>
      <c r="CF13" s="241">
        <f t="shared" si="7"/>
        <v>0</v>
      </c>
      <c r="CG13" s="241">
        <f t="shared" si="7"/>
        <v>0</v>
      </c>
      <c r="CH13" s="241">
        <f t="shared" si="7"/>
        <v>0</v>
      </c>
      <c r="CI13" s="241">
        <f t="shared" si="7"/>
        <v>0</v>
      </c>
      <c r="CJ13" s="241">
        <f t="shared" si="7"/>
        <v>0</v>
      </c>
      <c r="CK13" s="241">
        <f t="shared" si="7"/>
        <v>0</v>
      </c>
      <c r="CL13" s="241">
        <f t="shared" ref="CL13:DC13" si="8">CL11*CL12</f>
        <v>0</v>
      </c>
      <c r="CM13" s="241">
        <f t="shared" si="8"/>
        <v>0</v>
      </c>
      <c r="CN13" s="241">
        <f t="shared" si="8"/>
        <v>0</v>
      </c>
      <c r="CO13" s="241">
        <f t="shared" si="8"/>
        <v>0</v>
      </c>
      <c r="CP13" s="241">
        <f t="shared" si="8"/>
        <v>0</v>
      </c>
      <c r="CQ13" s="241">
        <f t="shared" si="8"/>
        <v>0</v>
      </c>
      <c r="CR13" s="241">
        <f t="shared" si="8"/>
        <v>0</v>
      </c>
      <c r="CS13" s="241">
        <f t="shared" si="8"/>
        <v>0</v>
      </c>
      <c r="CT13" s="241">
        <f t="shared" si="8"/>
        <v>0</v>
      </c>
      <c r="CU13" s="241">
        <f t="shared" si="8"/>
        <v>0</v>
      </c>
      <c r="CV13" s="241">
        <f t="shared" si="8"/>
        <v>0</v>
      </c>
      <c r="CW13" s="241">
        <f t="shared" si="8"/>
        <v>0</v>
      </c>
      <c r="CX13" s="241">
        <f t="shared" si="8"/>
        <v>0</v>
      </c>
      <c r="CY13" s="241">
        <f t="shared" si="8"/>
        <v>0</v>
      </c>
      <c r="CZ13" s="241">
        <f t="shared" si="8"/>
        <v>0</v>
      </c>
      <c r="DA13" s="241">
        <f t="shared" si="8"/>
        <v>0</v>
      </c>
      <c r="DB13" s="241">
        <f t="shared" si="8"/>
        <v>0</v>
      </c>
      <c r="DC13" s="241">
        <f t="shared" si="8"/>
        <v>0</v>
      </c>
    </row>
    <row r="14" spans="1:107" ht="15" customHeight="1" x14ac:dyDescent="0.25">
      <c r="B14" s="899">
        <v>8</v>
      </c>
      <c r="C14" s="225" t="s">
        <v>4214</v>
      </c>
      <c r="D14" s="225"/>
      <c r="E14" s="231" t="s">
        <v>4208</v>
      </c>
      <c r="F14" s="232" t="s">
        <v>4215</v>
      </c>
      <c r="G14" s="237" t="str">
        <f>IF(COUNTA(H14:DC14)=0,"",IF(OR(LARGE(H14:DC14,1)&gt;3,SMALL(H14:DC14,1)&lt;0),"ERRO",""))</f>
        <v/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spans="1:107" ht="15" customHeight="1" x14ac:dyDescent="0.25">
      <c r="B15" s="900"/>
      <c r="C15" s="225" t="s">
        <v>4216</v>
      </c>
      <c r="D15" s="225"/>
      <c r="E15" s="226" t="s">
        <v>4217</v>
      </c>
      <c r="F15" s="232" t="s">
        <v>4218</v>
      </c>
      <c r="G15" s="237" t="str">
        <f>IF(COUNTA(H15:DC15)=0,"",IF(OR(LARGE(H15:DC15,1)&gt;22,SMALL(H15:DC15,1)&lt;0),"ERRO",""))</f>
        <v/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</row>
    <row r="16" spans="1:107" ht="15" customHeight="1" x14ac:dyDescent="0.25">
      <c r="B16" s="900"/>
      <c r="C16" s="225" t="s">
        <v>4219</v>
      </c>
      <c r="D16" s="225"/>
      <c r="E16" s="226" t="s">
        <v>4220</v>
      </c>
      <c r="F16" s="232" t="s">
        <v>4221</v>
      </c>
      <c r="G16" s="237" t="str">
        <f>IF(COUNTA(H16:DC16)=0,"",IF(OR(LARGE(H16:DC16,1)&gt;12,SMALL(H16:DC16,1)&lt;0),"ERRO",""))</f>
        <v/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</row>
    <row r="17" spans="2:107" ht="15" customHeight="1" x14ac:dyDescent="0.25">
      <c r="B17" s="900"/>
      <c r="C17" s="225" t="s">
        <v>4222</v>
      </c>
      <c r="D17" s="225"/>
      <c r="E17" s="231" t="s">
        <v>3857</v>
      </c>
      <c r="F17" s="232" t="s">
        <v>4223</v>
      </c>
      <c r="G17" s="554">
        <f>SUM(H17:DC17)</f>
        <v>0</v>
      </c>
      <c r="H17" s="236">
        <f>H10*((H14*H15*H16)/792)</f>
        <v>0</v>
      </c>
      <c r="I17" s="236">
        <f t="shared" ref="I17:Y17" si="9">I10*((I14*I15*I16)/792)</f>
        <v>0</v>
      </c>
      <c r="J17" s="236">
        <f t="shared" si="9"/>
        <v>0</v>
      </c>
      <c r="K17" s="236">
        <f t="shared" si="9"/>
        <v>0</v>
      </c>
      <c r="L17" s="236">
        <f t="shared" si="9"/>
        <v>0</v>
      </c>
      <c r="M17" s="236">
        <f t="shared" si="9"/>
        <v>0</v>
      </c>
      <c r="N17" s="236">
        <f t="shared" si="9"/>
        <v>0</v>
      </c>
      <c r="O17" s="236">
        <f t="shared" si="9"/>
        <v>0</v>
      </c>
      <c r="P17" s="236">
        <f t="shared" si="9"/>
        <v>0</v>
      </c>
      <c r="Q17" s="236">
        <f t="shared" si="9"/>
        <v>0</v>
      </c>
      <c r="R17" s="236">
        <f t="shared" si="9"/>
        <v>0</v>
      </c>
      <c r="S17" s="236">
        <f t="shared" si="9"/>
        <v>0</v>
      </c>
      <c r="T17" s="236">
        <f t="shared" si="9"/>
        <v>0</v>
      </c>
      <c r="U17" s="236">
        <f t="shared" si="9"/>
        <v>0</v>
      </c>
      <c r="V17" s="236">
        <f t="shared" si="9"/>
        <v>0</v>
      </c>
      <c r="W17" s="236">
        <f t="shared" si="9"/>
        <v>0</v>
      </c>
      <c r="X17" s="236">
        <f t="shared" si="9"/>
        <v>0</v>
      </c>
      <c r="Y17" s="236">
        <f t="shared" si="9"/>
        <v>0</v>
      </c>
      <c r="Z17" s="236">
        <f t="shared" ref="Z17:CK17" si="10">Z10*((Z14*Z15*Z16)/792)</f>
        <v>0</v>
      </c>
      <c r="AA17" s="236">
        <f t="shared" si="10"/>
        <v>0</v>
      </c>
      <c r="AB17" s="236">
        <f t="shared" si="10"/>
        <v>0</v>
      </c>
      <c r="AC17" s="236">
        <f t="shared" si="10"/>
        <v>0</v>
      </c>
      <c r="AD17" s="236">
        <f t="shared" si="10"/>
        <v>0</v>
      </c>
      <c r="AE17" s="236">
        <f t="shared" si="10"/>
        <v>0</v>
      </c>
      <c r="AF17" s="236">
        <f t="shared" si="10"/>
        <v>0</v>
      </c>
      <c r="AG17" s="236">
        <f t="shared" si="10"/>
        <v>0</v>
      </c>
      <c r="AH17" s="236">
        <f t="shared" si="10"/>
        <v>0</v>
      </c>
      <c r="AI17" s="236">
        <f t="shared" si="10"/>
        <v>0</v>
      </c>
      <c r="AJ17" s="236">
        <f t="shared" si="10"/>
        <v>0</v>
      </c>
      <c r="AK17" s="236">
        <f t="shared" si="10"/>
        <v>0</v>
      </c>
      <c r="AL17" s="236">
        <f t="shared" si="10"/>
        <v>0</v>
      </c>
      <c r="AM17" s="236">
        <f t="shared" si="10"/>
        <v>0</v>
      </c>
      <c r="AN17" s="236">
        <f t="shared" si="10"/>
        <v>0</v>
      </c>
      <c r="AO17" s="236">
        <f t="shared" si="10"/>
        <v>0</v>
      </c>
      <c r="AP17" s="236">
        <f t="shared" si="10"/>
        <v>0</v>
      </c>
      <c r="AQ17" s="236">
        <f t="shared" si="10"/>
        <v>0</v>
      </c>
      <c r="AR17" s="236">
        <f t="shared" si="10"/>
        <v>0</v>
      </c>
      <c r="AS17" s="236">
        <f t="shared" si="10"/>
        <v>0</v>
      </c>
      <c r="AT17" s="236">
        <f t="shared" si="10"/>
        <v>0</v>
      </c>
      <c r="AU17" s="236">
        <f t="shared" si="10"/>
        <v>0</v>
      </c>
      <c r="AV17" s="236">
        <f t="shared" si="10"/>
        <v>0</v>
      </c>
      <c r="AW17" s="236">
        <f t="shared" si="10"/>
        <v>0</v>
      </c>
      <c r="AX17" s="236">
        <f t="shared" si="10"/>
        <v>0</v>
      </c>
      <c r="AY17" s="236">
        <f t="shared" si="10"/>
        <v>0</v>
      </c>
      <c r="AZ17" s="236">
        <f t="shared" si="10"/>
        <v>0</v>
      </c>
      <c r="BA17" s="236">
        <f t="shared" si="10"/>
        <v>0</v>
      </c>
      <c r="BB17" s="236">
        <f t="shared" si="10"/>
        <v>0</v>
      </c>
      <c r="BC17" s="236">
        <f t="shared" si="10"/>
        <v>0</v>
      </c>
      <c r="BD17" s="236">
        <f t="shared" si="10"/>
        <v>0</v>
      </c>
      <c r="BE17" s="236">
        <f t="shared" si="10"/>
        <v>0</v>
      </c>
      <c r="BF17" s="236">
        <f t="shared" si="10"/>
        <v>0</v>
      </c>
      <c r="BG17" s="236">
        <f t="shared" si="10"/>
        <v>0</v>
      </c>
      <c r="BH17" s="236">
        <f t="shared" si="10"/>
        <v>0</v>
      </c>
      <c r="BI17" s="236">
        <f t="shared" si="10"/>
        <v>0</v>
      </c>
      <c r="BJ17" s="236">
        <f t="shared" si="10"/>
        <v>0</v>
      </c>
      <c r="BK17" s="236">
        <f t="shared" si="10"/>
        <v>0</v>
      </c>
      <c r="BL17" s="236">
        <f t="shared" si="10"/>
        <v>0</v>
      </c>
      <c r="BM17" s="236">
        <f t="shared" si="10"/>
        <v>0</v>
      </c>
      <c r="BN17" s="236">
        <f t="shared" si="10"/>
        <v>0</v>
      </c>
      <c r="BO17" s="236">
        <f t="shared" si="10"/>
        <v>0</v>
      </c>
      <c r="BP17" s="236">
        <f t="shared" si="10"/>
        <v>0</v>
      </c>
      <c r="BQ17" s="236">
        <f t="shared" si="10"/>
        <v>0</v>
      </c>
      <c r="BR17" s="236">
        <f t="shared" si="10"/>
        <v>0</v>
      </c>
      <c r="BS17" s="236">
        <f t="shared" si="10"/>
        <v>0</v>
      </c>
      <c r="BT17" s="236">
        <f t="shared" si="10"/>
        <v>0</v>
      </c>
      <c r="BU17" s="236">
        <f t="shared" si="10"/>
        <v>0</v>
      </c>
      <c r="BV17" s="236">
        <f t="shared" si="10"/>
        <v>0</v>
      </c>
      <c r="BW17" s="236">
        <f t="shared" si="10"/>
        <v>0</v>
      </c>
      <c r="BX17" s="236">
        <f t="shared" si="10"/>
        <v>0</v>
      </c>
      <c r="BY17" s="236">
        <f t="shared" si="10"/>
        <v>0</v>
      </c>
      <c r="BZ17" s="236">
        <f t="shared" si="10"/>
        <v>0</v>
      </c>
      <c r="CA17" s="236">
        <f t="shared" si="10"/>
        <v>0</v>
      </c>
      <c r="CB17" s="236">
        <f t="shared" si="10"/>
        <v>0</v>
      </c>
      <c r="CC17" s="236">
        <f t="shared" si="10"/>
        <v>0</v>
      </c>
      <c r="CD17" s="236">
        <f t="shared" si="10"/>
        <v>0</v>
      </c>
      <c r="CE17" s="236">
        <f t="shared" si="10"/>
        <v>0</v>
      </c>
      <c r="CF17" s="236">
        <f t="shared" si="10"/>
        <v>0</v>
      </c>
      <c r="CG17" s="236">
        <f t="shared" si="10"/>
        <v>0</v>
      </c>
      <c r="CH17" s="236">
        <f t="shared" si="10"/>
        <v>0</v>
      </c>
      <c r="CI17" s="236">
        <f t="shared" si="10"/>
        <v>0</v>
      </c>
      <c r="CJ17" s="236">
        <f t="shared" si="10"/>
        <v>0</v>
      </c>
      <c r="CK17" s="236">
        <f t="shared" si="10"/>
        <v>0</v>
      </c>
      <c r="CL17" s="236">
        <f t="shared" ref="CL17:DC17" si="11">CL10*((CL14*CL15*CL16)/792)</f>
        <v>0</v>
      </c>
      <c r="CM17" s="236">
        <f t="shared" si="11"/>
        <v>0</v>
      </c>
      <c r="CN17" s="236">
        <f t="shared" si="11"/>
        <v>0</v>
      </c>
      <c r="CO17" s="236">
        <f t="shared" si="11"/>
        <v>0</v>
      </c>
      <c r="CP17" s="236">
        <f t="shared" si="11"/>
        <v>0</v>
      </c>
      <c r="CQ17" s="236">
        <f t="shared" si="11"/>
        <v>0</v>
      </c>
      <c r="CR17" s="236">
        <f t="shared" si="11"/>
        <v>0</v>
      </c>
      <c r="CS17" s="236">
        <f t="shared" si="11"/>
        <v>0</v>
      </c>
      <c r="CT17" s="236">
        <f t="shared" si="11"/>
        <v>0</v>
      </c>
      <c r="CU17" s="236">
        <f t="shared" si="11"/>
        <v>0</v>
      </c>
      <c r="CV17" s="236">
        <f t="shared" si="11"/>
        <v>0</v>
      </c>
      <c r="CW17" s="236">
        <f t="shared" si="11"/>
        <v>0</v>
      </c>
      <c r="CX17" s="236">
        <f t="shared" si="11"/>
        <v>0</v>
      </c>
      <c r="CY17" s="236">
        <f t="shared" si="11"/>
        <v>0</v>
      </c>
      <c r="CZ17" s="236">
        <f t="shared" si="11"/>
        <v>0</v>
      </c>
      <c r="DA17" s="236">
        <f t="shared" si="11"/>
        <v>0</v>
      </c>
      <c r="DB17" s="236">
        <f t="shared" si="11"/>
        <v>0</v>
      </c>
      <c r="DC17" s="236">
        <f t="shared" si="11"/>
        <v>0</v>
      </c>
    </row>
    <row r="18" spans="2:107" ht="15" customHeight="1" x14ac:dyDescent="0.25">
      <c r="B18" s="901"/>
      <c r="C18" s="225" t="s">
        <v>4224</v>
      </c>
      <c r="D18" s="225"/>
      <c r="E18" s="225"/>
      <c r="F18" s="232" t="s">
        <v>4225</v>
      </c>
      <c r="G18" s="237" t="str">
        <f>IF(COUNTA(H18:DC18)=0,"",IF(OR(LARGE(H18:DC18,1)&gt;1,SMALL(H18:DC18,1)&lt;0),"ERRO",""))</f>
        <v/>
      </c>
      <c r="H18" s="242">
        <f>IF(H10=0,0,H17/H10)</f>
        <v>0</v>
      </c>
      <c r="I18" s="242">
        <f t="shared" ref="I18:Y18" si="12">IF(I10=0,0,I17/I10)</f>
        <v>0</v>
      </c>
      <c r="J18" s="242">
        <f t="shared" si="12"/>
        <v>0</v>
      </c>
      <c r="K18" s="242">
        <f t="shared" si="12"/>
        <v>0</v>
      </c>
      <c r="L18" s="242">
        <f t="shared" si="12"/>
        <v>0</v>
      </c>
      <c r="M18" s="242">
        <f t="shared" si="12"/>
        <v>0</v>
      </c>
      <c r="N18" s="242">
        <f t="shared" si="12"/>
        <v>0</v>
      </c>
      <c r="O18" s="242">
        <f t="shared" si="12"/>
        <v>0</v>
      </c>
      <c r="P18" s="242">
        <f t="shared" si="12"/>
        <v>0</v>
      </c>
      <c r="Q18" s="242">
        <f t="shared" si="12"/>
        <v>0</v>
      </c>
      <c r="R18" s="242">
        <f t="shared" si="12"/>
        <v>0</v>
      </c>
      <c r="S18" s="242">
        <f t="shared" si="12"/>
        <v>0</v>
      </c>
      <c r="T18" s="242">
        <f t="shared" si="12"/>
        <v>0</v>
      </c>
      <c r="U18" s="242">
        <f t="shared" si="12"/>
        <v>0</v>
      </c>
      <c r="V18" s="242">
        <f t="shared" si="12"/>
        <v>0</v>
      </c>
      <c r="W18" s="242">
        <f t="shared" si="12"/>
        <v>0</v>
      </c>
      <c r="X18" s="242">
        <f t="shared" si="12"/>
        <v>0</v>
      </c>
      <c r="Y18" s="242">
        <f t="shared" si="12"/>
        <v>0</v>
      </c>
      <c r="Z18" s="242">
        <f t="shared" ref="Z18:CK18" si="13">IF(Z10=0,0,Z17/Z10)</f>
        <v>0</v>
      </c>
      <c r="AA18" s="242">
        <f t="shared" si="13"/>
        <v>0</v>
      </c>
      <c r="AB18" s="242">
        <f t="shared" si="13"/>
        <v>0</v>
      </c>
      <c r="AC18" s="242">
        <f t="shared" si="13"/>
        <v>0</v>
      </c>
      <c r="AD18" s="242">
        <f t="shared" si="13"/>
        <v>0</v>
      </c>
      <c r="AE18" s="242">
        <f t="shared" si="13"/>
        <v>0</v>
      </c>
      <c r="AF18" s="242">
        <f t="shared" si="13"/>
        <v>0</v>
      </c>
      <c r="AG18" s="242">
        <f t="shared" si="13"/>
        <v>0</v>
      </c>
      <c r="AH18" s="242">
        <f t="shared" si="13"/>
        <v>0</v>
      </c>
      <c r="AI18" s="242">
        <f t="shared" si="13"/>
        <v>0</v>
      </c>
      <c r="AJ18" s="242">
        <f t="shared" si="13"/>
        <v>0</v>
      </c>
      <c r="AK18" s="242">
        <f t="shared" si="13"/>
        <v>0</v>
      </c>
      <c r="AL18" s="242">
        <f t="shared" si="13"/>
        <v>0</v>
      </c>
      <c r="AM18" s="242">
        <f t="shared" si="13"/>
        <v>0</v>
      </c>
      <c r="AN18" s="242">
        <f t="shared" si="13"/>
        <v>0</v>
      </c>
      <c r="AO18" s="242">
        <f t="shared" si="13"/>
        <v>0</v>
      </c>
      <c r="AP18" s="242">
        <f t="shared" si="13"/>
        <v>0</v>
      </c>
      <c r="AQ18" s="242">
        <f t="shared" si="13"/>
        <v>0</v>
      </c>
      <c r="AR18" s="242">
        <f t="shared" si="13"/>
        <v>0</v>
      </c>
      <c r="AS18" s="242">
        <f t="shared" si="13"/>
        <v>0</v>
      </c>
      <c r="AT18" s="242">
        <f t="shared" si="13"/>
        <v>0</v>
      </c>
      <c r="AU18" s="242">
        <f t="shared" si="13"/>
        <v>0</v>
      </c>
      <c r="AV18" s="242">
        <f t="shared" si="13"/>
        <v>0</v>
      </c>
      <c r="AW18" s="242">
        <f t="shared" si="13"/>
        <v>0</v>
      </c>
      <c r="AX18" s="242">
        <f t="shared" si="13"/>
        <v>0</v>
      </c>
      <c r="AY18" s="242">
        <f t="shared" si="13"/>
        <v>0</v>
      </c>
      <c r="AZ18" s="242">
        <f t="shared" si="13"/>
        <v>0</v>
      </c>
      <c r="BA18" s="242">
        <f t="shared" si="13"/>
        <v>0</v>
      </c>
      <c r="BB18" s="242">
        <f t="shared" si="13"/>
        <v>0</v>
      </c>
      <c r="BC18" s="242">
        <f t="shared" si="13"/>
        <v>0</v>
      </c>
      <c r="BD18" s="242">
        <f t="shared" si="13"/>
        <v>0</v>
      </c>
      <c r="BE18" s="242">
        <f t="shared" si="13"/>
        <v>0</v>
      </c>
      <c r="BF18" s="242">
        <f t="shared" si="13"/>
        <v>0</v>
      </c>
      <c r="BG18" s="242">
        <f t="shared" si="13"/>
        <v>0</v>
      </c>
      <c r="BH18" s="242">
        <f t="shared" si="13"/>
        <v>0</v>
      </c>
      <c r="BI18" s="242">
        <f t="shared" si="13"/>
        <v>0</v>
      </c>
      <c r="BJ18" s="242">
        <f t="shared" si="13"/>
        <v>0</v>
      </c>
      <c r="BK18" s="242">
        <f t="shared" si="13"/>
        <v>0</v>
      </c>
      <c r="BL18" s="242">
        <f t="shared" si="13"/>
        <v>0</v>
      </c>
      <c r="BM18" s="242">
        <f t="shared" si="13"/>
        <v>0</v>
      </c>
      <c r="BN18" s="242">
        <f t="shared" si="13"/>
        <v>0</v>
      </c>
      <c r="BO18" s="242">
        <f t="shared" si="13"/>
        <v>0</v>
      </c>
      <c r="BP18" s="242">
        <f t="shared" si="13"/>
        <v>0</v>
      </c>
      <c r="BQ18" s="242">
        <f t="shared" si="13"/>
        <v>0</v>
      </c>
      <c r="BR18" s="242">
        <f t="shared" si="13"/>
        <v>0</v>
      </c>
      <c r="BS18" s="242">
        <f t="shared" si="13"/>
        <v>0</v>
      </c>
      <c r="BT18" s="242">
        <f t="shared" si="13"/>
        <v>0</v>
      </c>
      <c r="BU18" s="242">
        <f t="shared" si="13"/>
        <v>0</v>
      </c>
      <c r="BV18" s="242">
        <f t="shared" si="13"/>
        <v>0</v>
      </c>
      <c r="BW18" s="242">
        <f t="shared" si="13"/>
        <v>0</v>
      </c>
      <c r="BX18" s="242">
        <f t="shared" si="13"/>
        <v>0</v>
      </c>
      <c r="BY18" s="242">
        <f t="shared" si="13"/>
        <v>0</v>
      </c>
      <c r="BZ18" s="242">
        <f t="shared" si="13"/>
        <v>0</v>
      </c>
      <c r="CA18" s="242">
        <f t="shared" si="13"/>
        <v>0</v>
      </c>
      <c r="CB18" s="242">
        <f t="shared" si="13"/>
        <v>0</v>
      </c>
      <c r="CC18" s="242">
        <f t="shared" si="13"/>
        <v>0</v>
      </c>
      <c r="CD18" s="242">
        <f t="shared" si="13"/>
        <v>0</v>
      </c>
      <c r="CE18" s="242">
        <f t="shared" si="13"/>
        <v>0</v>
      </c>
      <c r="CF18" s="242">
        <f t="shared" si="13"/>
        <v>0</v>
      </c>
      <c r="CG18" s="242">
        <f t="shared" si="13"/>
        <v>0</v>
      </c>
      <c r="CH18" s="242">
        <f t="shared" si="13"/>
        <v>0</v>
      </c>
      <c r="CI18" s="242">
        <f t="shared" si="13"/>
        <v>0</v>
      </c>
      <c r="CJ18" s="242">
        <f t="shared" si="13"/>
        <v>0</v>
      </c>
      <c r="CK18" s="242">
        <f t="shared" si="13"/>
        <v>0</v>
      </c>
      <c r="CL18" s="242">
        <f t="shared" ref="CL18:DC18" si="14">IF(CL10=0,0,CL17/CL10)</f>
        <v>0</v>
      </c>
      <c r="CM18" s="242">
        <f t="shared" si="14"/>
        <v>0</v>
      </c>
      <c r="CN18" s="242">
        <f t="shared" si="14"/>
        <v>0</v>
      </c>
      <c r="CO18" s="242">
        <f t="shared" si="14"/>
        <v>0</v>
      </c>
      <c r="CP18" s="242">
        <f t="shared" si="14"/>
        <v>0</v>
      </c>
      <c r="CQ18" s="242">
        <f t="shared" si="14"/>
        <v>0</v>
      </c>
      <c r="CR18" s="242">
        <f t="shared" si="14"/>
        <v>0</v>
      </c>
      <c r="CS18" s="242">
        <f t="shared" si="14"/>
        <v>0</v>
      </c>
      <c r="CT18" s="242">
        <f t="shared" si="14"/>
        <v>0</v>
      </c>
      <c r="CU18" s="242">
        <f t="shared" si="14"/>
        <v>0</v>
      </c>
      <c r="CV18" s="242">
        <f t="shared" si="14"/>
        <v>0</v>
      </c>
      <c r="CW18" s="242">
        <f t="shared" si="14"/>
        <v>0</v>
      </c>
      <c r="CX18" s="242">
        <f t="shared" si="14"/>
        <v>0</v>
      </c>
      <c r="CY18" s="242">
        <f t="shared" si="14"/>
        <v>0</v>
      </c>
      <c r="CZ18" s="242">
        <f t="shared" si="14"/>
        <v>0</v>
      </c>
      <c r="DA18" s="242">
        <f t="shared" si="14"/>
        <v>0</v>
      </c>
      <c r="DB18" s="242">
        <f t="shared" si="14"/>
        <v>0</v>
      </c>
      <c r="DC18" s="242">
        <f t="shared" si="14"/>
        <v>0</v>
      </c>
    </row>
    <row r="19" spans="2:107" ht="15" customHeight="1" x14ac:dyDescent="0.25">
      <c r="B19" s="515">
        <v>9</v>
      </c>
      <c r="C19" s="225" t="s">
        <v>4226</v>
      </c>
      <c r="D19" s="225"/>
      <c r="E19" s="231" t="s">
        <v>3854</v>
      </c>
      <c r="F19" s="232" t="s">
        <v>4227</v>
      </c>
      <c r="G19" s="554">
        <f>SUM(H19:DC19)</f>
        <v>0</v>
      </c>
      <c r="H19" s="241">
        <f>(H10*H13)/1000</f>
        <v>0</v>
      </c>
      <c r="I19" s="241">
        <f t="shared" ref="I19:Y19" si="15">(I10*I13)/1000</f>
        <v>0</v>
      </c>
      <c r="J19" s="241">
        <f t="shared" si="15"/>
        <v>0</v>
      </c>
      <c r="K19" s="241">
        <f t="shared" si="15"/>
        <v>0</v>
      </c>
      <c r="L19" s="241">
        <f t="shared" si="15"/>
        <v>0</v>
      </c>
      <c r="M19" s="241">
        <f t="shared" si="15"/>
        <v>0</v>
      </c>
      <c r="N19" s="241">
        <f t="shared" si="15"/>
        <v>0</v>
      </c>
      <c r="O19" s="241">
        <f t="shared" si="15"/>
        <v>0</v>
      </c>
      <c r="P19" s="241">
        <f t="shared" si="15"/>
        <v>0</v>
      </c>
      <c r="Q19" s="241">
        <f t="shared" si="15"/>
        <v>0</v>
      </c>
      <c r="R19" s="241">
        <f t="shared" si="15"/>
        <v>0</v>
      </c>
      <c r="S19" s="241">
        <f t="shared" si="15"/>
        <v>0</v>
      </c>
      <c r="T19" s="241">
        <f t="shared" si="15"/>
        <v>0</v>
      </c>
      <c r="U19" s="241">
        <f t="shared" si="15"/>
        <v>0</v>
      </c>
      <c r="V19" s="241">
        <f t="shared" si="15"/>
        <v>0</v>
      </c>
      <c r="W19" s="241">
        <f t="shared" si="15"/>
        <v>0</v>
      </c>
      <c r="X19" s="241">
        <f t="shared" si="15"/>
        <v>0</v>
      </c>
      <c r="Y19" s="241">
        <f t="shared" si="15"/>
        <v>0</v>
      </c>
      <c r="Z19" s="241">
        <f t="shared" ref="Z19:CK19" si="16">(Z10*Z13)/1000</f>
        <v>0</v>
      </c>
      <c r="AA19" s="241">
        <f t="shared" si="16"/>
        <v>0</v>
      </c>
      <c r="AB19" s="241">
        <f t="shared" si="16"/>
        <v>0</v>
      </c>
      <c r="AC19" s="241">
        <f t="shared" si="16"/>
        <v>0</v>
      </c>
      <c r="AD19" s="241">
        <f t="shared" si="16"/>
        <v>0</v>
      </c>
      <c r="AE19" s="241">
        <f t="shared" si="16"/>
        <v>0</v>
      </c>
      <c r="AF19" s="241">
        <f t="shared" si="16"/>
        <v>0</v>
      </c>
      <c r="AG19" s="241">
        <f t="shared" si="16"/>
        <v>0</v>
      </c>
      <c r="AH19" s="241">
        <f t="shared" si="16"/>
        <v>0</v>
      </c>
      <c r="AI19" s="241">
        <f t="shared" si="16"/>
        <v>0</v>
      </c>
      <c r="AJ19" s="241">
        <f t="shared" si="16"/>
        <v>0</v>
      </c>
      <c r="AK19" s="241">
        <f t="shared" si="16"/>
        <v>0</v>
      </c>
      <c r="AL19" s="241">
        <f t="shared" si="16"/>
        <v>0</v>
      </c>
      <c r="AM19" s="241">
        <f t="shared" si="16"/>
        <v>0</v>
      </c>
      <c r="AN19" s="241">
        <f t="shared" si="16"/>
        <v>0</v>
      </c>
      <c r="AO19" s="241">
        <f t="shared" si="16"/>
        <v>0</v>
      </c>
      <c r="AP19" s="241">
        <f t="shared" si="16"/>
        <v>0</v>
      </c>
      <c r="AQ19" s="241">
        <f t="shared" si="16"/>
        <v>0</v>
      </c>
      <c r="AR19" s="241">
        <f t="shared" si="16"/>
        <v>0</v>
      </c>
      <c r="AS19" s="241">
        <f t="shared" si="16"/>
        <v>0</v>
      </c>
      <c r="AT19" s="241">
        <f t="shared" si="16"/>
        <v>0</v>
      </c>
      <c r="AU19" s="241">
        <f t="shared" si="16"/>
        <v>0</v>
      </c>
      <c r="AV19" s="241">
        <f t="shared" si="16"/>
        <v>0</v>
      </c>
      <c r="AW19" s="241">
        <f t="shared" si="16"/>
        <v>0</v>
      </c>
      <c r="AX19" s="241">
        <f t="shared" si="16"/>
        <v>0</v>
      </c>
      <c r="AY19" s="241">
        <f t="shared" si="16"/>
        <v>0</v>
      </c>
      <c r="AZ19" s="241">
        <f t="shared" si="16"/>
        <v>0</v>
      </c>
      <c r="BA19" s="241">
        <f t="shared" si="16"/>
        <v>0</v>
      </c>
      <c r="BB19" s="241">
        <f t="shared" si="16"/>
        <v>0</v>
      </c>
      <c r="BC19" s="241">
        <f t="shared" si="16"/>
        <v>0</v>
      </c>
      <c r="BD19" s="241">
        <f t="shared" si="16"/>
        <v>0</v>
      </c>
      <c r="BE19" s="241">
        <f t="shared" si="16"/>
        <v>0</v>
      </c>
      <c r="BF19" s="241">
        <f t="shared" si="16"/>
        <v>0</v>
      </c>
      <c r="BG19" s="241">
        <f t="shared" si="16"/>
        <v>0</v>
      </c>
      <c r="BH19" s="241">
        <f t="shared" si="16"/>
        <v>0</v>
      </c>
      <c r="BI19" s="241">
        <f t="shared" si="16"/>
        <v>0</v>
      </c>
      <c r="BJ19" s="241">
        <f t="shared" si="16"/>
        <v>0</v>
      </c>
      <c r="BK19" s="241">
        <f t="shared" si="16"/>
        <v>0</v>
      </c>
      <c r="BL19" s="241">
        <f t="shared" si="16"/>
        <v>0</v>
      </c>
      <c r="BM19" s="241">
        <f t="shared" si="16"/>
        <v>0</v>
      </c>
      <c r="BN19" s="241">
        <f t="shared" si="16"/>
        <v>0</v>
      </c>
      <c r="BO19" s="241">
        <f t="shared" si="16"/>
        <v>0</v>
      </c>
      <c r="BP19" s="241">
        <f t="shared" si="16"/>
        <v>0</v>
      </c>
      <c r="BQ19" s="241">
        <f t="shared" si="16"/>
        <v>0</v>
      </c>
      <c r="BR19" s="241">
        <f t="shared" si="16"/>
        <v>0</v>
      </c>
      <c r="BS19" s="241">
        <f t="shared" si="16"/>
        <v>0</v>
      </c>
      <c r="BT19" s="241">
        <f t="shared" si="16"/>
        <v>0</v>
      </c>
      <c r="BU19" s="241">
        <f t="shared" si="16"/>
        <v>0</v>
      </c>
      <c r="BV19" s="241">
        <f t="shared" si="16"/>
        <v>0</v>
      </c>
      <c r="BW19" s="241">
        <f t="shared" si="16"/>
        <v>0</v>
      </c>
      <c r="BX19" s="241">
        <f t="shared" si="16"/>
        <v>0</v>
      </c>
      <c r="BY19" s="241">
        <f t="shared" si="16"/>
        <v>0</v>
      </c>
      <c r="BZ19" s="241">
        <f t="shared" si="16"/>
        <v>0</v>
      </c>
      <c r="CA19" s="241">
        <f t="shared" si="16"/>
        <v>0</v>
      </c>
      <c r="CB19" s="241">
        <f t="shared" si="16"/>
        <v>0</v>
      </c>
      <c r="CC19" s="241">
        <f t="shared" si="16"/>
        <v>0</v>
      </c>
      <c r="CD19" s="241">
        <f t="shared" si="16"/>
        <v>0</v>
      </c>
      <c r="CE19" s="241">
        <f t="shared" si="16"/>
        <v>0</v>
      </c>
      <c r="CF19" s="241">
        <f t="shared" si="16"/>
        <v>0</v>
      </c>
      <c r="CG19" s="241">
        <f t="shared" si="16"/>
        <v>0</v>
      </c>
      <c r="CH19" s="241">
        <f t="shared" si="16"/>
        <v>0</v>
      </c>
      <c r="CI19" s="241">
        <f t="shared" si="16"/>
        <v>0</v>
      </c>
      <c r="CJ19" s="241">
        <f t="shared" si="16"/>
        <v>0</v>
      </c>
      <c r="CK19" s="241">
        <f t="shared" si="16"/>
        <v>0</v>
      </c>
      <c r="CL19" s="241">
        <f t="shared" ref="CL19:DC19" si="17">(CL10*CL13)/1000</f>
        <v>0</v>
      </c>
      <c r="CM19" s="241">
        <f t="shared" si="17"/>
        <v>0</v>
      </c>
      <c r="CN19" s="241">
        <f t="shared" si="17"/>
        <v>0</v>
      </c>
      <c r="CO19" s="241">
        <f t="shared" si="17"/>
        <v>0</v>
      </c>
      <c r="CP19" s="241">
        <f t="shared" si="17"/>
        <v>0</v>
      </c>
      <c r="CQ19" s="241">
        <f t="shared" si="17"/>
        <v>0</v>
      </c>
      <c r="CR19" s="241">
        <f t="shared" si="17"/>
        <v>0</v>
      </c>
      <c r="CS19" s="241">
        <f t="shared" si="17"/>
        <v>0</v>
      </c>
      <c r="CT19" s="241">
        <f t="shared" si="17"/>
        <v>0</v>
      </c>
      <c r="CU19" s="241">
        <f t="shared" si="17"/>
        <v>0</v>
      </c>
      <c r="CV19" s="241">
        <f t="shared" si="17"/>
        <v>0</v>
      </c>
      <c r="CW19" s="241">
        <f t="shared" si="17"/>
        <v>0</v>
      </c>
      <c r="CX19" s="241">
        <f t="shared" si="17"/>
        <v>0</v>
      </c>
      <c r="CY19" s="241">
        <f t="shared" si="17"/>
        <v>0</v>
      </c>
      <c r="CZ19" s="241">
        <f t="shared" si="17"/>
        <v>0</v>
      </c>
      <c r="DA19" s="241">
        <f t="shared" si="17"/>
        <v>0</v>
      </c>
      <c r="DB19" s="241">
        <f t="shared" si="17"/>
        <v>0</v>
      </c>
      <c r="DC19" s="241">
        <f t="shared" si="17"/>
        <v>0</v>
      </c>
    </row>
    <row r="20" spans="2:107" ht="15" customHeight="1" x14ac:dyDescent="0.25">
      <c r="B20" s="515">
        <v>10</v>
      </c>
      <c r="C20" s="225" t="s">
        <v>4228</v>
      </c>
      <c r="D20" s="225"/>
      <c r="E20" s="226" t="s">
        <v>3857</v>
      </c>
      <c r="F20" s="232" t="s">
        <v>4229</v>
      </c>
      <c r="G20" s="243">
        <f>SUM(H20:DC20)</f>
        <v>0</v>
      </c>
      <c r="H20" s="244">
        <f>H10*H18</f>
        <v>0</v>
      </c>
      <c r="I20" s="244">
        <f t="shared" ref="I20:Y20" si="18">I10*I18</f>
        <v>0</v>
      </c>
      <c r="J20" s="244">
        <f t="shared" si="18"/>
        <v>0</v>
      </c>
      <c r="K20" s="244">
        <f t="shared" si="18"/>
        <v>0</v>
      </c>
      <c r="L20" s="244">
        <f t="shared" si="18"/>
        <v>0</v>
      </c>
      <c r="M20" s="244">
        <f t="shared" si="18"/>
        <v>0</v>
      </c>
      <c r="N20" s="244">
        <f t="shared" si="18"/>
        <v>0</v>
      </c>
      <c r="O20" s="244">
        <f t="shared" si="18"/>
        <v>0</v>
      </c>
      <c r="P20" s="244">
        <f t="shared" si="18"/>
        <v>0</v>
      </c>
      <c r="Q20" s="244">
        <f t="shared" si="18"/>
        <v>0</v>
      </c>
      <c r="R20" s="244">
        <f t="shared" si="18"/>
        <v>0</v>
      </c>
      <c r="S20" s="244">
        <f t="shared" si="18"/>
        <v>0</v>
      </c>
      <c r="T20" s="244">
        <f t="shared" si="18"/>
        <v>0</v>
      </c>
      <c r="U20" s="244">
        <f t="shared" si="18"/>
        <v>0</v>
      </c>
      <c r="V20" s="244">
        <f t="shared" si="18"/>
        <v>0</v>
      </c>
      <c r="W20" s="244">
        <f t="shared" si="18"/>
        <v>0</v>
      </c>
      <c r="X20" s="244">
        <f t="shared" si="18"/>
        <v>0</v>
      </c>
      <c r="Y20" s="244">
        <f t="shared" si="18"/>
        <v>0</v>
      </c>
      <c r="Z20" s="244">
        <f t="shared" ref="Z20:CK20" si="19">Z10*Z18</f>
        <v>0</v>
      </c>
      <c r="AA20" s="244">
        <f t="shared" si="19"/>
        <v>0</v>
      </c>
      <c r="AB20" s="244">
        <f t="shared" si="19"/>
        <v>0</v>
      </c>
      <c r="AC20" s="244">
        <f t="shared" si="19"/>
        <v>0</v>
      </c>
      <c r="AD20" s="244">
        <f t="shared" si="19"/>
        <v>0</v>
      </c>
      <c r="AE20" s="244">
        <f t="shared" si="19"/>
        <v>0</v>
      </c>
      <c r="AF20" s="244">
        <f t="shared" si="19"/>
        <v>0</v>
      </c>
      <c r="AG20" s="244">
        <f t="shared" si="19"/>
        <v>0</v>
      </c>
      <c r="AH20" s="244">
        <f t="shared" si="19"/>
        <v>0</v>
      </c>
      <c r="AI20" s="244">
        <f t="shared" si="19"/>
        <v>0</v>
      </c>
      <c r="AJ20" s="244">
        <f t="shared" si="19"/>
        <v>0</v>
      </c>
      <c r="AK20" s="244">
        <f t="shared" si="19"/>
        <v>0</v>
      </c>
      <c r="AL20" s="244">
        <f t="shared" si="19"/>
        <v>0</v>
      </c>
      <c r="AM20" s="244">
        <f t="shared" si="19"/>
        <v>0</v>
      </c>
      <c r="AN20" s="244">
        <f t="shared" si="19"/>
        <v>0</v>
      </c>
      <c r="AO20" s="244">
        <f t="shared" si="19"/>
        <v>0</v>
      </c>
      <c r="AP20" s="244">
        <f t="shared" si="19"/>
        <v>0</v>
      </c>
      <c r="AQ20" s="244">
        <f t="shared" si="19"/>
        <v>0</v>
      </c>
      <c r="AR20" s="244">
        <f t="shared" si="19"/>
        <v>0</v>
      </c>
      <c r="AS20" s="244">
        <f t="shared" si="19"/>
        <v>0</v>
      </c>
      <c r="AT20" s="244">
        <f t="shared" si="19"/>
        <v>0</v>
      </c>
      <c r="AU20" s="244">
        <f t="shared" si="19"/>
        <v>0</v>
      </c>
      <c r="AV20" s="244">
        <f t="shared" si="19"/>
        <v>0</v>
      </c>
      <c r="AW20" s="244">
        <f t="shared" si="19"/>
        <v>0</v>
      </c>
      <c r="AX20" s="244">
        <f t="shared" si="19"/>
        <v>0</v>
      </c>
      <c r="AY20" s="244">
        <f t="shared" si="19"/>
        <v>0</v>
      </c>
      <c r="AZ20" s="244">
        <f t="shared" si="19"/>
        <v>0</v>
      </c>
      <c r="BA20" s="244">
        <f t="shared" si="19"/>
        <v>0</v>
      </c>
      <c r="BB20" s="244">
        <f t="shared" si="19"/>
        <v>0</v>
      </c>
      <c r="BC20" s="244">
        <f t="shared" si="19"/>
        <v>0</v>
      </c>
      <c r="BD20" s="244">
        <f t="shared" si="19"/>
        <v>0</v>
      </c>
      <c r="BE20" s="244">
        <f t="shared" si="19"/>
        <v>0</v>
      </c>
      <c r="BF20" s="244">
        <f t="shared" si="19"/>
        <v>0</v>
      </c>
      <c r="BG20" s="244">
        <f t="shared" si="19"/>
        <v>0</v>
      </c>
      <c r="BH20" s="244">
        <f t="shared" si="19"/>
        <v>0</v>
      </c>
      <c r="BI20" s="244">
        <f t="shared" si="19"/>
        <v>0</v>
      </c>
      <c r="BJ20" s="244">
        <f t="shared" si="19"/>
        <v>0</v>
      </c>
      <c r="BK20" s="244">
        <f t="shared" si="19"/>
        <v>0</v>
      </c>
      <c r="BL20" s="244">
        <f t="shared" si="19"/>
        <v>0</v>
      </c>
      <c r="BM20" s="244">
        <f t="shared" si="19"/>
        <v>0</v>
      </c>
      <c r="BN20" s="244">
        <f t="shared" si="19"/>
        <v>0</v>
      </c>
      <c r="BO20" s="244">
        <f t="shared" si="19"/>
        <v>0</v>
      </c>
      <c r="BP20" s="244">
        <f t="shared" si="19"/>
        <v>0</v>
      </c>
      <c r="BQ20" s="244">
        <f t="shared" si="19"/>
        <v>0</v>
      </c>
      <c r="BR20" s="244">
        <f t="shared" si="19"/>
        <v>0</v>
      </c>
      <c r="BS20" s="244">
        <f t="shared" si="19"/>
        <v>0</v>
      </c>
      <c r="BT20" s="244">
        <f t="shared" si="19"/>
        <v>0</v>
      </c>
      <c r="BU20" s="244">
        <f t="shared" si="19"/>
        <v>0</v>
      </c>
      <c r="BV20" s="244">
        <f t="shared" si="19"/>
        <v>0</v>
      </c>
      <c r="BW20" s="244">
        <f t="shared" si="19"/>
        <v>0</v>
      </c>
      <c r="BX20" s="244">
        <f t="shared" si="19"/>
        <v>0</v>
      </c>
      <c r="BY20" s="244">
        <f t="shared" si="19"/>
        <v>0</v>
      </c>
      <c r="BZ20" s="244">
        <f t="shared" si="19"/>
        <v>0</v>
      </c>
      <c r="CA20" s="244">
        <f t="shared" si="19"/>
        <v>0</v>
      </c>
      <c r="CB20" s="244">
        <f t="shared" si="19"/>
        <v>0</v>
      </c>
      <c r="CC20" s="244">
        <f t="shared" si="19"/>
        <v>0</v>
      </c>
      <c r="CD20" s="244">
        <f t="shared" si="19"/>
        <v>0</v>
      </c>
      <c r="CE20" s="244">
        <f t="shared" si="19"/>
        <v>0</v>
      </c>
      <c r="CF20" s="244">
        <f t="shared" si="19"/>
        <v>0</v>
      </c>
      <c r="CG20" s="244">
        <f t="shared" si="19"/>
        <v>0</v>
      </c>
      <c r="CH20" s="244">
        <f t="shared" si="19"/>
        <v>0</v>
      </c>
      <c r="CI20" s="244">
        <f t="shared" si="19"/>
        <v>0</v>
      </c>
      <c r="CJ20" s="244">
        <f t="shared" si="19"/>
        <v>0</v>
      </c>
      <c r="CK20" s="244">
        <f t="shared" si="19"/>
        <v>0</v>
      </c>
      <c r="CL20" s="244">
        <f t="shared" ref="CL20:DC20" si="20">CL10*CL18</f>
        <v>0</v>
      </c>
      <c r="CM20" s="244">
        <f t="shared" si="20"/>
        <v>0</v>
      </c>
      <c r="CN20" s="244">
        <f t="shared" si="20"/>
        <v>0</v>
      </c>
      <c r="CO20" s="244">
        <f t="shared" si="20"/>
        <v>0</v>
      </c>
      <c r="CP20" s="244">
        <f t="shared" si="20"/>
        <v>0</v>
      </c>
      <c r="CQ20" s="244">
        <f t="shared" si="20"/>
        <v>0</v>
      </c>
      <c r="CR20" s="244">
        <f t="shared" si="20"/>
        <v>0</v>
      </c>
      <c r="CS20" s="244">
        <f t="shared" si="20"/>
        <v>0</v>
      </c>
      <c r="CT20" s="244">
        <f t="shared" si="20"/>
        <v>0</v>
      </c>
      <c r="CU20" s="244">
        <f t="shared" si="20"/>
        <v>0</v>
      </c>
      <c r="CV20" s="244">
        <f t="shared" si="20"/>
        <v>0</v>
      </c>
      <c r="CW20" s="244">
        <f t="shared" si="20"/>
        <v>0</v>
      </c>
      <c r="CX20" s="244">
        <f t="shared" si="20"/>
        <v>0</v>
      </c>
      <c r="CY20" s="244">
        <f t="shared" si="20"/>
        <v>0</v>
      </c>
      <c r="CZ20" s="244">
        <f t="shared" si="20"/>
        <v>0</v>
      </c>
      <c r="DA20" s="244">
        <f t="shared" si="20"/>
        <v>0</v>
      </c>
      <c r="DB20" s="244">
        <f t="shared" si="20"/>
        <v>0</v>
      </c>
      <c r="DC20" s="244">
        <f t="shared" si="20"/>
        <v>0</v>
      </c>
    </row>
    <row r="22" spans="2:107" ht="15" customHeight="1" x14ac:dyDescent="0.25">
      <c r="B22" s="649" t="s">
        <v>4967</v>
      </c>
      <c r="C22" s="650"/>
      <c r="D22" s="650"/>
      <c r="E22" s="650"/>
      <c r="F22" s="65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</row>
    <row r="23" spans="2:107" s="103" customFormat="1" ht="15" customHeight="1" x14ac:dyDescent="0.25">
      <c r="B23" s="515"/>
      <c r="C23" s="516"/>
      <c r="D23" s="516"/>
      <c r="E23" s="516"/>
      <c r="F23" s="222"/>
      <c r="G23" s="223" t="s">
        <v>76</v>
      </c>
      <c r="H23" s="224" t="s">
        <v>4866</v>
      </c>
      <c r="I23" s="224" t="s">
        <v>4867</v>
      </c>
      <c r="J23" s="224" t="s">
        <v>4868</v>
      </c>
      <c r="K23" s="224" t="s">
        <v>4869</v>
      </c>
      <c r="L23" s="224" t="s">
        <v>4870</v>
      </c>
      <c r="M23" s="224" t="s">
        <v>4871</v>
      </c>
      <c r="N23" s="224" t="s">
        <v>4872</v>
      </c>
      <c r="O23" s="224" t="s">
        <v>4873</v>
      </c>
      <c r="P23" s="224" t="s">
        <v>4874</v>
      </c>
      <c r="Q23" s="224" t="s">
        <v>4875</v>
      </c>
      <c r="R23" s="224" t="s">
        <v>4876</v>
      </c>
      <c r="S23" s="224" t="s">
        <v>4877</v>
      </c>
      <c r="T23" s="224" t="s">
        <v>4878</v>
      </c>
      <c r="U23" s="224" t="s">
        <v>4879</v>
      </c>
      <c r="V23" s="224" t="s">
        <v>4880</v>
      </c>
      <c r="W23" s="224" t="s">
        <v>4881</v>
      </c>
      <c r="X23" s="224" t="s">
        <v>4882</v>
      </c>
      <c r="Y23" s="224" t="s">
        <v>4883</v>
      </c>
      <c r="Z23" s="224" t="s">
        <v>4884</v>
      </c>
      <c r="AA23" s="224" t="s">
        <v>4885</v>
      </c>
      <c r="AB23" s="224" t="s">
        <v>4886</v>
      </c>
      <c r="AC23" s="224" t="s">
        <v>4887</v>
      </c>
      <c r="AD23" s="224" t="s">
        <v>4888</v>
      </c>
      <c r="AE23" s="224" t="s">
        <v>4889</v>
      </c>
      <c r="AF23" s="224" t="s">
        <v>4890</v>
      </c>
      <c r="AG23" s="224" t="s">
        <v>4891</v>
      </c>
      <c r="AH23" s="224" t="s">
        <v>4892</v>
      </c>
      <c r="AI23" s="224" t="s">
        <v>4893</v>
      </c>
      <c r="AJ23" s="224" t="s">
        <v>4894</v>
      </c>
      <c r="AK23" s="224" t="s">
        <v>4895</v>
      </c>
      <c r="AL23" s="224" t="s">
        <v>4896</v>
      </c>
      <c r="AM23" s="224" t="s">
        <v>4897</v>
      </c>
      <c r="AN23" s="224" t="s">
        <v>4898</v>
      </c>
      <c r="AO23" s="224" t="s">
        <v>4899</v>
      </c>
      <c r="AP23" s="224" t="s">
        <v>4900</v>
      </c>
      <c r="AQ23" s="224" t="s">
        <v>4901</v>
      </c>
      <c r="AR23" s="224" t="s">
        <v>4902</v>
      </c>
      <c r="AS23" s="224" t="s">
        <v>4903</v>
      </c>
      <c r="AT23" s="224" t="s">
        <v>4904</v>
      </c>
      <c r="AU23" s="224" t="s">
        <v>4905</v>
      </c>
      <c r="AV23" s="224" t="s">
        <v>4906</v>
      </c>
      <c r="AW23" s="224" t="s">
        <v>4907</v>
      </c>
      <c r="AX23" s="224" t="s">
        <v>4908</v>
      </c>
      <c r="AY23" s="224" t="s">
        <v>4909</v>
      </c>
      <c r="AZ23" s="224" t="s">
        <v>4910</v>
      </c>
      <c r="BA23" s="224" t="s">
        <v>4911</v>
      </c>
      <c r="BB23" s="224" t="s">
        <v>4912</v>
      </c>
      <c r="BC23" s="224" t="s">
        <v>4913</v>
      </c>
      <c r="BD23" s="224" t="s">
        <v>4914</v>
      </c>
      <c r="BE23" s="224" t="s">
        <v>4915</v>
      </c>
      <c r="BF23" s="224" t="s">
        <v>4916</v>
      </c>
      <c r="BG23" s="224" t="s">
        <v>4917</v>
      </c>
      <c r="BH23" s="224" t="s">
        <v>4918</v>
      </c>
      <c r="BI23" s="224" t="s">
        <v>4919</v>
      </c>
      <c r="BJ23" s="224" t="s">
        <v>4920</v>
      </c>
      <c r="BK23" s="224" t="s">
        <v>4921</v>
      </c>
      <c r="BL23" s="224" t="s">
        <v>4922</v>
      </c>
      <c r="BM23" s="224" t="s">
        <v>4923</v>
      </c>
      <c r="BN23" s="224" t="s">
        <v>4924</v>
      </c>
      <c r="BO23" s="224" t="s">
        <v>4925</v>
      </c>
      <c r="BP23" s="224" t="s">
        <v>4926</v>
      </c>
      <c r="BQ23" s="224" t="s">
        <v>4927</v>
      </c>
      <c r="BR23" s="224" t="s">
        <v>4928</v>
      </c>
      <c r="BS23" s="224" t="s">
        <v>4929</v>
      </c>
      <c r="BT23" s="224" t="s">
        <v>4930</v>
      </c>
      <c r="BU23" s="224" t="s">
        <v>4931</v>
      </c>
      <c r="BV23" s="224" t="s">
        <v>4932</v>
      </c>
      <c r="BW23" s="224" t="s">
        <v>4933</v>
      </c>
      <c r="BX23" s="224" t="s">
        <v>4934</v>
      </c>
      <c r="BY23" s="224" t="s">
        <v>4935</v>
      </c>
      <c r="BZ23" s="224" t="s">
        <v>4936</v>
      </c>
      <c r="CA23" s="224" t="s">
        <v>4937</v>
      </c>
      <c r="CB23" s="224" t="s">
        <v>4938</v>
      </c>
      <c r="CC23" s="224" t="s">
        <v>4939</v>
      </c>
      <c r="CD23" s="224" t="s">
        <v>4940</v>
      </c>
      <c r="CE23" s="224" t="s">
        <v>4941</v>
      </c>
      <c r="CF23" s="224" t="s">
        <v>4942</v>
      </c>
      <c r="CG23" s="224" t="s">
        <v>4943</v>
      </c>
      <c r="CH23" s="224" t="s">
        <v>4944</v>
      </c>
      <c r="CI23" s="224" t="s">
        <v>4945</v>
      </c>
      <c r="CJ23" s="224" t="s">
        <v>4946</v>
      </c>
      <c r="CK23" s="224" t="s">
        <v>4947</v>
      </c>
      <c r="CL23" s="224" t="s">
        <v>4948</v>
      </c>
      <c r="CM23" s="224" t="s">
        <v>4949</v>
      </c>
      <c r="CN23" s="224" t="s">
        <v>4950</v>
      </c>
      <c r="CO23" s="224" t="s">
        <v>4951</v>
      </c>
      <c r="CP23" s="224" t="s">
        <v>4952</v>
      </c>
      <c r="CQ23" s="224" t="s">
        <v>4953</v>
      </c>
      <c r="CR23" s="224" t="s">
        <v>4954</v>
      </c>
      <c r="CS23" s="224" t="s">
        <v>4955</v>
      </c>
      <c r="CT23" s="224" t="s">
        <v>4956</v>
      </c>
      <c r="CU23" s="224" t="s">
        <v>4957</v>
      </c>
      <c r="CV23" s="224" t="s">
        <v>4958</v>
      </c>
      <c r="CW23" s="224" t="s">
        <v>4959</v>
      </c>
      <c r="CX23" s="224" t="s">
        <v>4960</v>
      </c>
      <c r="CY23" s="224" t="s">
        <v>4961</v>
      </c>
      <c r="CZ23" s="224" t="s">
        <v>4962</v>
      </c>
      <c r="DA23" s="224" t="s">
        <v>4963</v>
      </c>
      <c r="DB23" s="224" t="s">
        <v>4964</v>
      </c>
      <c r="DC23" s="224" t="s">
        <v>4965</v>
      </c>
    </row>
    <row r="24" spans="2:107" s="103" customFormat="1" ht="15" customHeight="1" x14ac:dyDescent="0.25">
      <c r="B24" s="515">
        <v>11</v>
      </c>
      <c r="C24" s="307" t="s">
        <v>4195</v>
      </c>
      <c r="D24" s="516"/>
      <c r="E24" s="516"/>
      <c r="F24" s="222"/>
      <c r="G24" s="223"/>
      <c r="H24" s="224" t="str">
        <f>IF(H4="","",H4)</f>
        <v/>
      </c>
      <c r="I24" s="224" t="str">
        <f t="shared" ref="I24:BT24" si="21">IF(I4="","",I4)</f>
        <v/>
      </c>
      <c r="J24" s="224" t="str">
        <f t="shared" si="21"/>
        <v/>
      </c>
      <c r="K24" s="224" t="str">
        <f t="shared" si="21"/>
        <v/>
      </c>
      <c r="L24" s="224" t="str">
        <f t="shared" si="21"/>
        <v/>
      </c>
      <c r="M24" s="224" t="str">
        <f t="shared" si="21"/>
        <v/>
      </c>
      <c r="N24" s="224" t="str">
        <f t="shared" si="21"/>
        <v/>
      </c>
      <c r="O24" s="224" t="str">
        <f t="shared" si="21"/>
        <v/>
      </c>
      <c r="P24" s="224" t="str">
        <f t="shared" si="21"/>
        <v/>
      </c>
      <c r="Q24" s="224" t="str">
        <f t="shared" si="21"/>
        <v/>
      </c>
      <c r="R24" s="224" t="str">
        <f t="shared" si="21"/>
        <v/>
      </c>
      <c r="S24" s="224" t="str">
        <f t="shared" si="21"/>
        <v/>
      </c>
      <c r="T24" s="224" t="str">
        <f t="shared" si="21"/>
        <v/>
      </c>
      <c r="U24" s="224" t="str">
        <f t="shared" si="21"/>
        <v/>
      </c>
      <c r="V24" s="224" t="str">
        <f t="shared" si="21"/>
        <v/>
      </c>
      <c r="W24" s="224" t="str">
        <f t="shared" si="21"/>
        <v/>
      </c>
      <c r="X24" s="224" t="str">
        <f t="shared" si="21"/>
        <v/>
      </c>
      <c r="Y24" s="224" t="str">
        <f t="shared" si="21"/>
        <v/>
      </c>
      <c r="Z24" s="224" t="str">
        <f t="shared" si="21"/>
        <v/>
      </c>
      <c r="AA24" s="224" t="str">
        <f t="shared" si="21"/>
        <v/>
      </c>
      <c r="AB24" s="224" t="str">
        <f t="shared" si="21"/>
        <v/>
      </c>
      <c r="AC24" s="224" t="str">
        <f t="shared" si="21"/>
        <v/>
      </c>
      <c r="AD24" s="224" t="str">
        <f t="shared" si="21"/>
        <v/>
      </c>
      <c r="AE24" s="224" t="str">
        <f t="shared" si="21"/>
        <v/>
      </c>
      <c r="AF24" s="224" t="str">
        <f t="shared" si="21"/>
        <v/>
      </c>
      <c r="AG24" s="224" t="str">
        <f t="shared" si="21"/>
        <v/>
      </c>
      <c r="AH24" s="224" t="str">
        <f t="shared" si="21"/>
        <v/>
      </c>
      <c r="AI24" s="224" t="str">
        <f t="shared" si="21"/>
        <v/>
      </c>
      <c r="AJ24" s="224" t="str">
        <f t="shared" si="21"/>
        <v/>
      </c>
      <c r="AK24" s="224" t="str">
        <f t="shared" si="21"/>
        <v/>
      </c>
      <c r="AL24" s="224" t="str">
        <f t="shared" si="21"/>
        <v/>
      </c>
      <c r="AM24" s="224" t="str">
        <f t="shared" si="21"/>
        <v/>
      </c>
      <c r="AN24" s="224" t="str">
        <f t="shared" si="21"/>
        <v/>
      </c>
      <c r="AO24" s="224" t="str">
        <f t="shared" si="21"/>
        <v/>
      </c>
      <c r="AP24" s="224" t="str">
        <f t="shared" si="21"/>
        <v/>
      </c>
      <c r="AQ24" s="224" t="str">
        <f t="shared" si="21"/>
        <v/>
      </c>
      <c r="AR24" s="224" t="str">
        <f t="shared" si="21"/>
        <v/>
      </c>
      <c r="AS24" s="224" t="str">
        <f t="shared" si="21"/>
        <v/>
      </c>
      <c r="AT24" s="224" t="str">
        <f t="shared" si="21"/>
        <v/>
      </c>
      <c r="AU24" s="224" t="str">
        <f t="shared" si="21"/>
        <v/>
      </c>
      <c r="AV24" s="224" t="str">
        <f t="shared" si="21"/>
        <v/>
      </c>
      <c r="AW24" s="224" t="str">
        <f t="shared" si="21"/>
        <v/>
      </c>
      <c r="AX24" s="224" t="str">
        <f t="shared" si="21"/>
        <v/>
      </c>
      <c r="AY24" s="224" t="str">
        <f t="shared" si="21"/>
        <v/>
      </c>
      <c r="AZ24" s="224" t="str">
        <f t="shared" si="21"/>
        <v/>
      </c>
      <c r="BA24" s="224" t="str">
        <f t="shared" si="21"/>
        <v/>
      </c>
      <c r="BB24" s="224" t="str">
        <f t="shared" si="21"/>
        <v/>
      </c>
      <c r="BC24" s="224" t="str">
        <f t="shared" si="21"/>
        <v/>
      </c>
      <c r="BD24" s="224" t="str">
        <f t="shared" si="21"/>
        <v/>
      </c>
      <c r="BE24" s="224" t="str">
        <f t="shared" si="21"/>
        <v/>
      </c>
      <c r="BF24" s="224" t="str">
        <f t="shared" si="21"/>
        <v/>
      </c>
      <c r="BG24" s="224" t="str">
        <f t="shared" si="21"/>
        <v/>
      </c>
      <c r="BH24" s="224" t="str">
        <f t="shared" si="21"/>
        <v/>
      </c>
      <c r="BI24" s="224" t="str">
        <f t="shared" si="21"/>
        <v/>
      </c>
      <c r="BJ24" s="224" t="str">
        <f t="shared" si="21"/>
        <v/>
      </c>
      <c r="BK24" s="224" t="str">
        <f t="shared" si="21"/>
        <v/>
      </c>
      <c r="BL24" s="224" t="str">
        <f t="shared" si="21"/>
        <v/>
      </c>
      <c r="BM24" s="224" t="str">
        <f t="shared" si="21"/>
        <v/>
      </c>
      <c r="BN24" s="224" t="str">
        <f t="shared" si="21"/>
        <v/>
      </c>
      <c r="BO24" s="224" t="str">
        <f t="shared" si="21"/>
        <v/>
      </c>
      <c r="BP24" s="224" t="str">
        <f t="shared" si="21"/>
        <v/>
      </c>
      <c r="BQ24" s="224" t="str">
        <f t="shared" si="21"/>
        <v/>
      </c>
      <c r="BR24" s="224" t="str">
        <f t="shared" si="21"/>
        <v/>
      </c>
      <c r="BS24" s="224" t="str">
        <f t="shared" si="21"/>
        <v/>
      </c>
      <c r="BT24" s="224" t="str">
        <f t="shared" si="21"/>
        <v/>
      </c>
      <c r="BU24" s="224" t="str">
        <f t="shared" ref="BU24:DC24" si="22">IF(BU4="","",BU4)</f>
        <v/>
      </c>
      <c r="BV24" s="224" t="str">
        <f t="shared" si="22"/>
        <v/>
      </c>
      <c r="BW24" s="224" t="str">
        <f t="shared" si="22"/>
        <v/>
      </c>
      <c r="BX24" s="224" t="str">
        <f t="shared" si="22"/>
        <v/>
      </c>
      <c r="BY24" s="224" t="str">
        <f t="shared" si="22"/>
        <v/>
      </c>
      <c r="BZ24" s="224" t="str">
        <f t="shared" si="22"/>
        <v/>
      </c>
      <c r="CA24" s="224" t="str">
        <f t="shared" si="22"/>
        <v/>
      </c>
      <c r="CB24" s="224" t="str">
        <f t="shared" si="22"/>
        <v/>
      </c>
      <c r="CC24" s="224" t="str">
        <f t="shared" si="22"/>
        <v/>
      </c>
      <c r="CD24" s="224" t="str">
        <f t="shared" si="22"/>
        <v/>
      </c>
      <c r="CE24" s="224" t="str">
        <f t="shared" si="22"/>
        <v/>
      </c>
      <c r="CF24" s="224" t="str">
        <f t="shared" si="22"/>
        <v/>
      </c>
      <c r="CG24" s="224" t="str">
        <f t="shared" si="22"/>
        <v/>
      </c>
      <c r="CH24" s="224" t="str">
        <f t="shared" si="22"/>
        <v/>
      </c>
      <c r="CI24" s="224" t="str">
        <f t="shared" si="22"/>
        <v/>
      </c>
      <c r="CJ24" s="224" t="str">
        <f t="shared" si="22"/>
        <v/>
      </c>
      <c r="CK24" s="224" t="str">
        <f t="shared" si="22"/>
        <v/>
      </c>
      <c r="CL24" s="224" t="str">
        <f t="shared" si="22"/>
        <v/>
      </c>
      <c r="CM24" s="224" t="str">
        <f t="shared" si="22"/>
        <v/>
      </c>
      <c r="CN24" s="224" t="str">
        <f t="shared" si="22"/>
        <v/>
      </c>
      <c r="CO24" s="224" t="str">
        <f t="shared" si="22"/>
        <v/>
      </c>
      <c r="CP24" s="224" t="str">
        <f t="shared" si="22"/>
        <v/>
      </c>
      <c r="CQ24" s="224" t="str">
        <f t="shared" si="22"/>
        <v/>
      </c>
      <c r="CR24" s="224" t="str">
        <f t="shared" si="22"/>
        <v/>
      </c>
      <c r="CS24" s="224" t="str">
        <f t="shared" si="22"/>
        <v/>
      </c>
      <c r="CT24" s="224" t="str">
        <f t="shared" si="22"/>
        <v/>
      </c>
      <c r="CU24" s="224" t="str">
        <f t="shared" si="22"/>
        <v/>
      </c>
      <c r="CV24" s="224" t="str">
        <f t="shared" si="22"/>
        <v/>
      </c>
      <c r="CW24" s="224" t="str">
        <f t="shared" si="22"/>
        <v/>
      </c>
      <c r="CX24" s="224" t="str">
        <f t="shared" si="22"/>
        <v/>
      </c>
      <c r="CY24" s="224" t="str">
        <f t="shared" si="22"/>
        <v/>
      </c>
      <c r="CZ24" s="224" t="str">
        <f t="shared" si="22"/>
        <v/>
      </c>
      <c r="DA24" s="224" t="str">
        <f t="shared" si="22"/>
        <v/>
      </c>
      <c r="DB24" s="224" t="str">
        <f t="shared" si="22"/>
        <v/>
      </c>
      <c r="DC24" s="224" t="str">
        <f t="shared" si="22"/>
        <v/>
      </c>
    </row>
    <row r="25" spans="2:107" ht="15" customHeight="1" x14ac:dyDescent="0.25">
      <c r="B25" s="515">
        <v>12</v>
      </c>
      <c r="C25" s="225" t="s">
        <v>4196</v>
      </c>
      <c r="D25" s="225"/>
      <c r="E25" s="226"/>
      <c r="F25" s="227"/>
      <c r="G25" s="228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</row>
    <row r="26" spans="2:107" ht="15" customHeight="1" x14ac:dyDescent="0.25">
      <c r="B26" s="515">
        <v>13</v>
      </c>
      <c r="C26" s="225" t="s">
        <v>4966</v>
      </c>
      <c r="D26" s="225"/>
      <c r="E26" s="231" t="s">
        <v>4199</v>
      </c>
      <c r="F26" s="232" t="s">
        <v>4266</v>
      </c>
      <c r="G26" s="554">
        <f>SUM(H26:DC26)</f>
        <v>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</row>
    <row r="27" spans="2:107" ht="15" customHeight="1" x14ac:dyDescent="0.25">
      <c r="B27" s="515">
        <v>14</v>
      </c>
      <c r="C27" s="225" t="s">
        <v>3980</v>
      </c>
      <c r="D27" s="225"/>
      <c r="E27" s="231"/>
      <c r="F27" s="232" t="s">
        <v>4265</v>
      </c>
      <c r="G27" s="235">
        <f>SUM(H27:DC27)</f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</row>
    <row r="28" spans="2:107" ht="15" customHeight="1" x14ac:dyDescent="0.25">
      <c r="B28" s="515">
        <v>15</v>
      </c>
      <c r="C28" s="225" t="s">
        <v>4205</v>
      </c>
      <c r="D28" s="225"/>
      <c r="E28" s="231" t="s">
        <v>3857</v>
      </c>
      <c r="F28" s="232" t="s">
        <v>4233</v>
      </c>
      <c r="G28" s="554">
        <f>SUM(H28:DC28)</f>
        <v>0</v>
      </c>
      <c r="H28" s="236">
        <f>(H26*H27)/1000</f>
        <v>0</v>
      </c>
      <c r="I28" s="236">
        <f t="shared" ref="I28:Y28" si="23">(I26*I27)/1000</f>
        <v>0</v>
      </c>
      <c r="J28" s="236">
        <f t="shared" si="23"/>
        <v>0</v>
      </c>
      <c r="K28" s="236">
        <f t="shared" si="23"/>
        <v>0</v>
      </c>
      <c r="L28" s="236">
        <f t="shared" si="23"/>
        <v>0</v>
      </c>
      <c r="M28" s="236">
        <f t="shared" si="23"/>
        <v>0</v>
      </c>
      <c r="N28" s="236">
        <f t="shared" si="23"/>
        <v>0</v>
      </c>
      <c r="O28" s="236">
        <f t="shared" si="23"/>
        <v>0</v>
      </c>
      <c r="P28" s="236">
        <f t="shared" si="23"/>
        <v>0</v>
      </c>
      <c r="Q28" s="236">
        <f t="shared" si="23"/>
        <v>0</v>
      </c>
      <c r="R28" s="236">
        <f t="shared" si="23"/>
        <v>0</v>
      </c>
      <c r="S28" s="236">
        <f t="shared" si="23"/>
        <v>0</v>
      </c>
      <c r="T28" s="236">
        <f t="shared" si="23"/>
        <v>0</v>
      </c>
      <c r="U28" s="236">
        <f t="shared" si="23"/>
        <v>0</v>
      </c>
      <c r="V28" s="236">
        <f t="shared" si="23"/>
        <v>0</v>
      </c>
      <c r="W28" s="236">
        <f t="shared" si="23"/>
        <v>0</v>
      </c>
      <c r="X28" s="236">
        <f t="shared" si="23"/>
        <v>0</v>
      </c>
      <c r="Y28" s="236">
        <f t="shared" si="23"/>
        <v>0</v>
      </c>
      <c r="Z28" s="236">
        <f t="shared" ref="Z28:CK28" si="24">(Z26*Z27)/1000</f>
        <v>0</v>
      </c>
      <c r="AA28" s="236">
        <f t="shared" si="24"/>
        <v>0</v>
      </c>
      <c r="AB28" s="236">
        <f t="shared" si="24"/>
        <v>0</v>
      </c>
      <c r="AC28" s="236">
        <f t="shared" si="24"/>
        <v>0</v>
      </c>
      <c r="AD28" s="236">
        <f t="shared" si="24"/>
        <v>0</v>
      </c>
      <c r="AE28" s="236">
        <f t="shared" si="24"/>
        <v>0</v>
      </c>
      <c r="AF28" s="236">
        <f t="shared" si="24"/>
        <v>0</v>
      </c>
      <c r="AG28" s="236">
        <f t="shared" si="24"/>
        <v>0</v>
      </c>
      <c r="AH28" s="236">
        <f t="shared" si="24"/>
        <v>0</v>
      </c>
      <c r="AI28" s="236">
        <f t="shared" si="24"/>
        <v>0</v>
      </c>
      <c r="AJ28" s="236">
        <f t="shared" si="24"/>
        <v>0</v>
      </c>
      <c r="AK28" s="236">
        <f t="shared" si="24"/>
        <v>0</v>
      </c>
      <c r="AL28" s="236">
        <f t="shared" si="24"/>
        <v>0</v>
      </c>
      <c r="AM28" s="236">
        <f t="shared" si="24"/>
        <v>0</v>
      </c>
      <c r="AN28" s="236">
        <f t="shared" si="24"/>
        <v>0</v>
      </c>
      <c r="AO28" s="236">
        <f t="shared" si="24"/>
        <v>0</v>
      </c>
      <c r="AP28" s="236">
        <f t="shared" si="24"/>
        <v>0</v>
      </c>
      <c r="AQ28" s="236">
        <f t="shared" si="24"/>
        <v>0</v>
      </c>
      <c r="AR28" s="236">
        <f t="shared" si="24"/>
        <v>0</v>
      </c>
      <c r="AS28" s="236">
        <f t="shared" si="24"/>
        <v>0</v>
      </c>
      <c r="AT28" s="236">
        <f t="shared" si="24"/>
        <v>0</v>
      </c>
      <c r="AU28" s="236">
        <f t="shared" si="24"/>
        <v>0</v>
      </c>
      <c r="AV28" s="236">
        <f t="shared" si="24"/>
        <v>0</v>
      </c>
      <c r="AW28" s="236">
        <f t="shared" si="24"/>
        <v>0</v>
      </c>
      <c r="AX28" s="236">
        <f t="shared" si="24"/>
        <v>0</v>
      </c>
      <c r="AY28" s="236">
        <f t="shared" si="24"/>
        <v>0</v>
      </c>
      <c r="AZ28" s="236">
        <f t="shared" si="24"/>
        <v>0</v>
      </c>
      <c r="BA28" s="236">
        <f t="shared" si="24"/>
        <v>0</v>
      </c>
      <c r="BB28" s="236">
        <f t="shared" si="24"/>
        <v>0</v>
      </c>
      <c r="BC28" s="236">
        <f t="shared" si="24"/>
        <v>0</v>
      </c>
      <c r="BD28" s="236">
        <f t="shared" si="24"/>
        <v>0</v>
      </c>
      <c r="BE28" s="236">
        <f t="shared" si="24"/>
        <v>0</v>
      </c>
      <c r="BF28" s="236">
        <f t="shared" si="24"/>
        <v>0</v>
      </c>
      <c r="BG28" s="236">
        <f t="shared" si="24"/>
        <v>0</v>
      </c>
      <c r="BH28" s="236">
        <f t="shared" si="24"/>
        <v>0</v>
      </c>
      <c r="BI28" s="236">
        <f t="shared" si="24"/>
        <v>0</v>
      </c>
      <c r="BJ28" s="236">
        <f t="shared" si="24"/>
        <v>0</v>
      </c>
      <c r="BK28" s="236">
        <f t="shared" si="24"/>
        <v>0</v>
      </c>
      <c r="BL28" s="236">
        <f t="shared" si="24"/>
        <v>0</v>
      </c>
      <c r="BM28" s="236">
        <f t="shared" si="24"/>
        <v>0</v>
      </c>
      <c r="BN28" s="236">
        <f t="shared" si="24"/>
        <v>0</v>
      </c>
      <c r="BO28" s="236">
        <f t="shared" si="24"/>
        <v>0</v>
      </c>
      <c r="BP28" s="236">
        <f t="shared" si="24"/>
        <v>0</v>
      </c>
      <c r="BQ28" s="236">
        <f t="shared" si="24"/>
        <v>0</v>
      </c>
      <c r="BR28" s="236">
        <f t="shared" si="24"/>
        <v>0</v>
      </c>
      <c r="BS28" s="236">
        <f t="shared" si="24"/>
        <v>0</v>
      </c>
      <c r="BT28" s="236">
        <f t="shared" si="24"/>
        <v>0</v>
      </c>
      <c r="BU28" s="236">
        <f t="shared" si="24"/>
        <v>0</v>
      </c>
      <c r="BV28" s="236">
        <f t="shared" si="24"/>
        <v>0</v>
      </c>
      <c r="BW28" s="236">
        <f t="shared" si="24"/>
        <v>0</v>
      </c>
      <c r="BX28" s="236">
        <f t="shared" si="24"/>
        <v>0</v>
      </c>
      <c r="BY28" s="236">
        <f t="shared" si="24"/>
        <v>0</v>
      </c>
      <c r="BZ28" s="236">
        <f t="shared" si="24"/>
        <v>0</v>
      </c>
      <c r="CA28" s="236">
        <f t="shared" si="24"/>
        <v>0</v>
      </c>
      <c r="CB28" s="236">
        <f t="shared" si="24"/>
        <v>0</v>
      </c>
      <c r="CC28" s="236">
        <f t="shared" si="24"/>
        <v>0</v>
      </c>
      <c r="CD28" s="236">
        <f t="shared" si="24"/>
        <v>0</v>
      </c>
      <c r="CE28" s="236">
        <f t="shared" si="24"/>
        <v>0</v>
      </c>
      <c r="CF28" s="236">
        <f t="shared" si="24"/>
        <v>0</v>
      </c>
      <c r="CG28" s="236">
        <f t="shared" si="24"/>
        <v>0</v>
      </c>
      <c r="CH28" s="236">
        <f t="shared" si="24"/>
        <v>0</v>
      </c>
      <c r="CI28" s="236">
        <f t="shared" si="24"/>
        <v>0</v>
      </c>
      <c r="CJ28" s="236">
        <f t="shared" si="24"/>
        <v>0</v>
      </c>
      <c r="CK28" s="236">
        <f t="shared" si="24"/>
        <v>0</v>
      </c>
      <c r="CL28" s="236">
        <f t="shared" ref="CL28:DC28" si="25">(CL26*CL27)/1000</f>
        <v>0</v>
      </c>
      <c r="CM28" s="236">
        <f t="shared" si="25"/>
        <v>0</v>
      </c>
      <c r="CN28" s="236">
        <f t="shared" si="25"/>
        <v>0</v>
      </c>
      <c r="CO28" s="236">
        <f t="shared" si="25"/>
        <v>0</v>
      </c>
      <c r="CP28" s="236">
        <f t="shared" si="25"/>
        <v>0</v>
      </c>
      <c r="CQ28" s="236">
        <f t="shared" si="25"/>
        <v>0</v>
      </c>
      <c r="CR28" s="236">
        <f t="shared" si="25"/>
        <v>0</v>
      </c>
      <c r="CS28" s="236">
        <f t="shared" si="25"/>
        <v>0</v>
      </c>
      <c r="CT28" s="236">
        <f t="shared" si="25"/>
        <v>0</v>
      </c>
      <c r="CU28" s="236">
        <f t="shared" si="25"/>
        <v>0</v>
      </c>
      <c r="CV28" s="236">
        <f t="shared" si="25"/>
        <v>0</v>
      </c>
      <c r="CW28" s="236">
        <f t="shared" si="25"/>
        <v>0</v>
      </c>
      <c r="CX28" s="236">
        <f t="shared" si="25"/>
        <v>0</v>
      </c>
      <c r="CY28" s="236">
        <f t="shared" si="25"/>
        <v>0</v>
      </c>
      <c r="CZ28" s="236">
        <f t="shared" si="25"/>
        <v>0</v>
      </c>
      <c r="DA28" s="236">
        <f t="shared" si="25"/>
        <v>0</v>
      </c>
      <c r="DB28" s="236">
        <f t="shared" si="25"/>
        <v>0</v>
      </c>
      <c r="DC28" s="236">
        <f t="shared" si="25"/>
        <v>0</v>
      </c>
    </row>
    <row r="29" spans="2:107" ht="15" customHeight="1" x14ac:dyDescent="0.25">
      <c r="B29" s="899">
        <v>16</v>
      </c>
      <c r="C29" s="225" t="s">
        <v>4317</v>
      </c>
      <c r="D29" s="225"/>
      <c r="E29" s="231"/>
      <c r="F29" s="232" t="s">
        <v>4713</v>
      </c>
      <c r="G29" s="237" t="str">
        <f>IF(COUNTA(H29:DC29)=0,"",IF(OR(LARGE(H29:DC29,1)&gt;1,SMALL(H29:DC29,1)&lt;0),"ERRO",""))</f>
        <v/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</row>
    <row r="30" spans="2:107" ht="15" customHeight="1" x14ac:dyDescent="0.25">
      <c r="B30" s="901"/>
      <c r="C30" s="225" t="s">
        <v>4459</v>
      </c>
      <c r="D30" s="225"/>
      <c r="E30" s="231" t="s">
        <v>3857</v>
      </c>
      <c r="F30" s="232" t="s">
        <v>4464</v>
      </c>
      <c r="G30" s="554">
        <f>SUM(H30:DC30)</f>
        <v>0</v>
      </c>
      <c r="H30" s="236">
        <f>H28*H29</f>
        <v>0</v>
      </c>
      <c r="I30" s="236">
        <f t="shared" ref="I30:Y30" si="26">I28*I29</f>
        <v>0</v>
      </c>
      <c r="J30" s="236">
        <f t="shared" si="26"/>
        <v>0</v>
      </c>
      <c r="K30" s="236">
        <f t="shared" si="26"/>
        <v>0</v>
      </c>
      <c r="L30" s="236">
        <f t="shared" si="26"/>
        <v>0</v>
      </c>
      <c r="M30" s="236">
        <f t="shared" si="26"/>
        <v>0</v>
      </c>
      <c r="N30" s="236">
        <f t="shared" si="26"/>
        <v>0</v>
      </c>
      <c r="O30" s="236">
        <f t="shared" si="26"/>
        <v>0</v>
      </c>
      <c r="P30" s="236">
        <f t="shared" si="26"/>
        <v>0</v>
      </c>
      <c r="Q30" s="236">
        <f t="shared" si="26"/>
        <v>0</v>
      </c>
      <c r="R30" s="236">
        <f t="shared" si="26"/>
        <v>0</v>
      </c>
      <c r="S30" s="236">
        <f t="shared" si="26"/>
        <v>0</v>
      </c>
      <c r="T30" s="236">
        <f t="shared" si="26"/>
        <v>0</v>
      </c>
      <c r="U30" s="236">
        <f t="shared" si="26"/>
        <v>0</v>
      </c>
      <c r="V30" s="236">
        <f t="shared" si="26"/>
        <v>0</v>
      </c>
      <c r="W30" s="236">
        <f t="shared" si="26"/>
        <v>0</v>
      </c>
      <c r="X30" s="236">
        <f t="shared" si="26"/>
        <v>0</v>
      </c>
      <c r="Y30" s="236">
        <f t="shared" si="26"/>
        <v>0</v>
      </c>
      <c r="Z30" s="236">
        <f t="shared" ref="Z30:CK30" si="27">Z28*Z29</f>
        <v>0</v>
      </c>
      <c r="AA30" s="236">
        <f t="shared" si="27"/>
        <v>0</v>
      </c>
      <c r="AB30" s="236">
        <f t="shared" si="27"/>
        <v>0</v>
      </c>
      <c r="AC30" s="236">
        <f t="shared" si="27"/>
        <v>0</v>
      </c>
      <c r="AD30" s="236">
        <f t="shared" si="27"/>
        <v>0</v>
      </c>
      <c r="AE30" s="236">
        <f t="shared" si="27"/>
        <v>0</v>
      </c>
      <c r="AF30" s="236">
        <f t="shared" si="27"/>
        <v>0</v>
      </c>
      <c r="AG30" s="236">
        <f t="shared" si="27"/>
        <v>0</v>
      </c>
      <c r="AH30" s="236">
        <f t="shared" si="27"/>
        <v>0</v>
      </c>
      <c r="AI30" s="236">
        <f t="shared" si="27"/>
        <v>0</v>
      </c>
      <c r="AJ30" s="236">
        <f t="shared" si="27"/>
        <v>0</v>
      </c>
      <c r="AK30" s="236">
        <f t="shared" si="27"/>
        <v>0</v>
      </c>
      <c r="AL30" s="236">
        <f t="shared" si="27"/>
        <v>0</v>
      </c>
      <c r="AM30" s="236">
        <f t="shared" si="27"/>
        <v>0</v>
      </c>
      <c r="AN30" s="236">
        <f t="shared" si="27"/>
        <v>0</v>
      </c>
      <c r="AO30" s="236">
        <f t="shared" si="27"/>
        <v>0</v>
      </c>
      <c r="AP30" s="236">
        <f t="shared" si="27"/>
        <v>0</v>
      </c>
      <c r="AQ30" s="236">
        <f t="shared" si="27"/>
        <v>0</v>
      </c>
      <c r="AR30" s="236">
        <f t="shared" si="27"/>
        <v>0</v>
      </c>
      <c r="AS30" s="236">
        <f t="shared" si="27"/>
        <v>0</v>
      </c>
      <c r="AT30" s="236">
        <f t="shared" si="27"/>
        <v>0</v>
      </c>
      <c r="AU30" s="236">
        <f t="shared" si="27"/>
        <v>0</v>
      </c>
      <c r="AV30" s="236">
        <f t="shared" si="27"/>
        <v>0</v>
      </c>
      <c r="AW30" s="236">
        <f t="shared" si="27"/>
        <v>0</v>
      </c>
      <c r="AX30" s="236">
        <f t="shared" si="27"/>
        <v>0</v>
      </c>
      <c r="AY30" s="236">
        <f t="shared" si="27"/>
        <v>0</v>
      </c>
      <c r="AZ30" s="236">
        <f t="shared" si="27"/>
        <v>0</v>
      </c>
      <c r="BA30" s="236">
        <f t="shared" si="27"/>
        <v>0</v>
      </c>
      <c r="BB30" s="236">
        <f t="shared" si="27"/>
        <v>0</v>
      </c>
      <c r="BC30" s="236">
        <f t="shared" si="27"/>
        <v>0</v>
      </c>
      <c r="BD30" s="236">
        <f t="shared" si="27"/>
        <v>0</v>
      </c>
      <c r="BE30" s="236">
        <f t="shared" si="27"/>
        <v>0</v>
      </c>
      <c r="BF30" s="236">
        <f t="shared" si="27"/>
        <v>0</v>
      </c>
      <c r="BG30" s="236">
        <f t="shared" si="27"/>
        <v>0</v>
      </c>
      <c r="BH30" s="236">
        <f t="shared" si="27"/>
        <v>0</v>
      </c>
      <c r="BI30" s="236">
        <f t="shared" si="27"/>
        <v>0</v>
      </c>
      <c r="BJ30" s="236">
        <f t="shared" si="27"/>
        <v>0</v>
      </c>
      <c r="BK30" s="236">
        <f t="shared" si="27"/>
        <v>0</v>
      </c>
      <c r="BL30" s="236">
        <f t="shared" si="27"/>
        <v>0</v>
      </c>
      <c r="BM30" s="236">
        <f t="shared" si="27"/>
        <v>0</v>
      </c>
      <c r="BN30" s="236">
        <f t="shared" si="27"/>
        <v>0</v>
      </c>
      <c r="BO30" s="236">
        <f t="shared" si="27"/>
        <v>0</v>
      </c>
      <c r="BP30" s="236">
        <f t="shared" si="27"/>
        <v>0</v>
      </c>
      <c r="BQ30" s="236">
        <f t="shared" si="27"/>
        <v>0</v>
      </c>
      <c r="BR30" s="236">
        <f t="shared" si="27"/>
        <v>0</v>
      </c>
      <c r="BS30" s="236">
        <f t="shared" si="27"/>
        <v>0</v>
      </c>
      <c r="BT30" s="236">
        <f t="shared" si="27"/>
        <v>0</v>
      </c>
      <c r="BU30" s="236">
        <f t="shared" si="27"/>
        <v>0</v>
      </c>
      <c r="BV30" s="236">
        <f t="shared" si="27"/>
        <v>0</v>
      </c>
      <c r="BW30" s="236">
        <f t="shared" si="27"/>
        <v>0</v>
      </c>
      <c r="BX30" s="236">
        <f t="shared" si="27"/>
        <v>0</v>
      </c>
      <c r="BY30" s="236">
        <f t="shared" si="27"/>
        <v>0</v>
      </c>
      <c r="BZ30" s="236">
        <f t="shared" si="27"/>
        <v>0</v>
      </c>
      <c r="CA30" s="236">
        <f t="shared" si="27"/>
        <v>0</v>
      </c>
      <c r="CB30" s="236">
        <f t="shared" si="27"/>
        <v>0</v>
      </c>
      <c r="CC30" s="236">
        <f t="shared" si="27"/>
        <v>0</v>
      </c>
      <c r="CD30" s="236">
        <f t="shared" si="27"/>
        <v>0</v>
      </c>
      <c r="CE30" s="236">
        <f t="shared" si="27"/>
        <v>0</v>
      </c>
      <c r="CF30" s="236">
        <f t="shared" si="27"/>
        <v>0</v>
      </c>
      <c r="CG30" s="236">
        <f t="shared" si="27"/>
        <v>0</v>
      </c>
      <c r="CH30" s="236">
        <f t="shared" si="27"/>
        <v>0</v>
      </c>
      <c r="CI30" s="236">
        <f t="shared" si="27"/>
        <v>0</v>
      </c>
      <c r="CJ30" s="236">
        <f t="shared" si="27"/>
        <v>0</v>
      </c>
      <c r="CK30" s="236">
        <f t="shared" si="27"/>
        <v>0</v>
      </c>
      <c r="CL30" s="236">
        <f t="shared" ref="CL30:DC30" si="28">CL28*CL29</f>
        <v>0</v>
      </c>
      <c r="CM30" s="236">
        <f t="shared" si="28"/>
        <v>0</v>
      </c>
      <c r="CN30" s="236">
        <f t="shared" si="28"/>
        <v>0</v>
      </c>
      <c r="CO30" s="236">
        <f t="shared" si="28"/>
        <v>0</v>
      </c>
      <c r="CP30" s="236">
        <f t="shared" si="28"/>
        <v>0</v>
      </c>
      <c r="CQ30" s="236">
        <f t="shared" si="28"/>
        <v>0</v>
      </c>
      <c r="CR30" s="236">
        <f t="shared" si="28"/>
        <v>0</v>
      </c>
      <c r="CS30" s="236">
        <f t="shared" si="28"/>
        <v>0</v>
      </c>
      <c r="CT30" s="236">
        <f t="shared" si="28"/>
        <v>0</v>
      </c>
      <c r="CU30" s="236">
        <f t="shared" si="28"/>
        <v>0</v>
      </c>
      <c r="CV30" s="236">
        <f t="shared" si="28"/>
        <v>0</v>
      </c>
      <c r="CW30" s="236">
        <f t="shared" si="28"/>
        <v>0</v>
      </c>
      <c r="CX30" s="236">
        <f t="shared" si="28"/>
        <v>0</v>
      </c>
      <c r="CY30" s="236">
        <f t="shared" si="28"/>
        <v>0</v>
      </c>
      <c r="CZ30" s="236">
        <f t="shared" si="28"/>
        <v>0</v>
      </c>
      <c r="DA30" s="236">
        <f t="shared" si="28"/>
        <v>0</v>
      </c>
      <c r="DB30" s="236">
        <f t="shared" si="28"/>
        <v>0</v>
      </c>
      <c r="DC30" s="236">
        <f t="shared" si="28"/>
        <v>0</v>
      </c>
    </row>
    <row r="31" spans="2:107" ht="15" customHeight="1" x14ac:dyDescent="0.25">
      <c r="B31" s="899">
        <v>17</v>
      </c>
      <c r="C31" s="225" t="s">
        <v>4207</v>
      </c>
      <c r="D31" s="225"/>
      <c r="E31" s="231" t="s">
        <v>4208</v>
      </c>
      <c r="F31" s="232"/>
      <c r="G31" s="237" t="str">
        <f>IF(COUNTA(H31:DC31)=0,"",IF(OR(LARGE(H31:DC31,1)&gt;24,SMALL(H31:DC31,1)&lt;0),"ERRO",""))</f>
        <v/>
      </c>
      <c r="H31" s="471">
        <f t="shared" ref="H31:Y31" si="29">H11</f>
        <v>0</v>
      </c>
      <c r="I31" s="471">
        <f t="shared" si="29"/>
        <v>0</v>
      </c>
      <c r="J31" s="471">
        <f>J11</f>
        <v>0</v>
      </c>
      <c r="K31" s="471">
        <f t="shared" si="29"/>
        <v>0</v>
      </c>
      <c r="L31" s="471">
        <f t="shared" si="29"/>
        <v>0</v>
      </c>
      <c r="M31" s="471">
        <f t="shared" si="29"/>
        <v>0</v>
      </c>
      <c r="N31" s="471">
        <f t="shared" si="29"/>
        <v>0</v>
      </c>
      <c r="O31" s="471">
        <f t="shared" si="29"/>
        <v>0</v>
      </c>
      <c r="P31" s="471">
        <f t="shared" si="29"/>
        <v>0</v>
      </c>
      <c r="Q31" s="471">
        <f t="shared" si="29"/>
        <v>0</v>
      </c>
      <c r="R31" s="471">
        <f t="shared" si="29"/>
        <v>0</v>
      </c>
      <c r="S31" s="471">
        <f t="shared" si="29"/>
        <v>0</v>
      </c>
      <c r="T31" s="471">
        <f t="shared" si="29"/>
        <v>0</v>
      </c>
      <c r="U31" s="471">
        <f t="shared" si="29"/>
        <v>0</v>
      </c>
      <c r="V31" s="471">
        <f t="shared" si="29"/>
        <v>0</v>
      </c>
      <c r="W31" s="471">
        <f t="shared" si="29"/>
        <v>0</v>
      </c>
      <c r="X31" s="471">
        <f t="shared" si="29"/>
        <v>0</v>
      </c>
      <c r="Y31" s="471">
        <f t="shared" si="29"/>
        <v>0</v>
      </c>
      <c r="Z31" s="471">
        <f t="shared" ref="Z31:CK31" si="30">Z11</f>
        <v>0</v>
      </c>
      <c r="AA31" s="471">
        <f t="shared" si="30"/>
        <v>0</v>
      </c>
      <c r="AB31" s="471">
        <f t="shared" si="30"/>
        <v>0</v>
      </c>
      <c r="AC31" s="471">
        <f t="shared" si="30"/>
        <v>0</v>
      </c>
      <c r="AD31" s="471">
        <f t="shared" si="30"/>
        <v>0</v>
      </c>
      <c r="AE31" s="471">
        <f t="shared" si="30"/>
        <v>0</v>
      </c>
      <c r="AF31" s="471">
        <f t="shared" si="30"/>
        <v>0</v>
      </c>
      <c r="AG31" s="471">
        <f t="shared" si="30"/>
        <v>0</v>
      </c>
      <c r="AH31" s="471">
        <f t="shared" si="30"/>
        <v>0</v>
      </c>
      <c r="AI31" s="471">
        <f t="shared" si="30"/>
        <v>0</v>
      </c>
      <c r="AJ31" s="471">
        <f t="shared" si="30"/>
        <v>0</v>
      </c>
      <c r="AK31" s="471">
        <f t="shared" si="30"/>
        <v>0</v>
      </c>
      <c r="AL31" s="471">
        <f t="shared" si="30"/>
        <v>0</v>
      </c>
      <c r="AM31" s="471">
        <f t="shared" si="30"/>
        <v>0</v>
      </c>
      <c r="AN31" s="471">
        <f t="shared" si="30"/>
        <v>0</v>
      </c>
      <c r="AO31" s="471">
        <f t="shared" si="30"/>
        <v>0</v>
      </c>
      <c r="AP31" s="471">
        <f t="shared" si="30"/>
        <v>0</v>
      </c>
      <c r="AQ31" s="471">
        <f t="shared" si="30"/>
        <v>0</v>
      </c>
      <c r="AR31" s="471">
        <f t="shared" si="30"/>
        <v>0</v>
      </c>
      <c r="AS31" s="471">
        <f t="shared" si="30"/>
        <v>0</v>
      </c>
      <c r="AT31" s="471">
        <f t="shared" si="30"/>
        <v>0</v>
      </c>
      <c r="AU31" s="471">
        <f t="shared" si="30"/>
        <v>0</v>
      </c>
      <c r="AV31" s="471">
        <f t="shared" si="30"/>
        <v>0</v>
      </c>
      <c r="AW31" s="471">
        <f t="shared" si="30"/>
        <v>0</v>
      </c>
      <c r="AX31" s="471">
        <f t="shared" si="30"/>
        <v>0</v>
      </c>
      <c r="AY31" s="471">
        <f t="shared" si="30"/>
        <v>0</v>
      </c>
      <c r="AZ31" s="471">
        <f t="shared" si="30"/>
        <v>0</v>
      </c>
      <c r="BA31" s="471">
        <f t="shared" si="30"/>
        <v>0</v>
      </c>
      <c r="BB31" s="471">
        <f t="shared" si="30"/>
        <v>0</v>
      </c>
      <c r="BC31" s="471">
        <f t="shared" si="30"/>
        <v>0</v>
      </c>
      <c r="BD31" s="471">
        <f t="shared" si="30"/>
        <v>0</v>
      </c>
      <c r="BE31" s="471">
        <f t="shared" si="30"/>
        <v>0</v>
      </c>
      <c r="BF31" s="471">
        <f t="shared" si="30"/>
        <v>0</v>
      </c>
      <c r="BG31" s="471">
        <f t="shared" si="30"/>
        <v>0</v>
      </c>
      <c r="BH31" s="471">
        <f t="shared" si="30"/>
        <v>0</v>
      </c>
      <c r="BI31" s="471">
        <f t="shared" si="30"/>
        <v>0</v>
      </c>
      <c r="BJ31" s="471">
        <f t="shared" si="30"/>
        <v>0</v>
      </c>
      <c r="BK31" s="471">
        <f t="shared" si="30"/>
        <v>0</v>
      </c>
      <c r="BL31" s="471">
        <f t="shared" si="30"/>
        <v>0</v>
      </c>
      <c r="BM31" s="471">
        <f t="shared" si="30"/>
        <v>0</v>
      </c>
      <c r="BN31" s="471">
        <f t="shared" si="30"/>
        <v>0</v>
      </c>
      <c r="BO31" s="471">
        <f t="shared" si="30"/>
        <v>0</v>
      </c>
      <c r="BP31" s="471">
        <f t="shared" si="30"/>
        <v>0</v>
      </c>
      <c r="BQ31" s="471">
        <f t="shared" si="30"/>
        <v>0</v>
      </c>
      <c r="BR31" s="471">
        <f t="shared" si="30"/>
        <v>0</v>
      </c>
      <c r="BS31" s="471">
        <f t="shared" si="30"/>
        <v>0</v>
      </c>
      <c r="BT31" s="471">
        <f t="shared" si="30"/>
        <v>0</v>
      </c>
      <c r="BU31" s="471">
        <f t="shared" si="30"/>
        <v>0</v>
      </c>
      <c r="BV31" s="471">
        <f t="shared" si="30"/>
        <v>0</v>
      </c>
      <c r="BW31" s="471">
        <f t="shared" si="30"/>
        <v>0</v>
      </c>
      <c r="BX31" s="471">
        <f t="shared" si="30"/>
        <v>0</v>
      </c>
      <c r="BY31" s="471">
        <f t="shared" si="30"/>
        <v>0</v>
      </c>
      <c r="BZ31" s="471">
        <f t="shared" si="30"/>
        <v>0</v>
      </c>
      <c r="CA31" s="471">
        <f t="shared" si="30"/>
        <v>0</v>
      </c>
      <c r="CB31" s="471">
        <f t="shared" si="30"/>
        <v>0</v>
      </c>
      <c r="CC31" s="471">
        <f t="shared" si="30"/>
        <v>0</v>
      </c>
      <c r="CD31" s="471">
        <f t="shared" si="30"/>
        <v>0</v>
      </c>
      <c r="CE31" s="471">
        <f t="shared" si="30"/>
        <v>0</v>
      </c>
      <c r="CF31" s="471">
        <f t="shared" si="30"/>
        <v>0</v>
      </c>
      <c r="CG31" s="471">
        <f t="shared" si="30"/>
        <v>0</v>
      </c>
      <c r="CH31" s="471">
        <f t="shared" si="30"/>
        <v>0</v>
      </c>
      <c r="CI31" s="471">
        <f t="shared" si="30"/>
        <v>0</v>
      </c>
      <c r="CJ31" s="471">
        <f t="shared" si="30"/>
        <v>0</v>
      </c>
      <c r="CK31" s="471">
        <f t="shared" si="30"/>
        <v>0</v>
      </c>
      <c r="CL31" s="471">
        <f t="shared" ref="CL31:DC31" si="31">CL11</f>
        <v>0</v>
      </c>
      <c r="CM31" s="471">
        <f t="shared" si="31"/>
        <v>0</v>
      </c>
      <c r="CN31" s="471">
        <f t="shared" si="31"/>
        <v>0</v>
      </c>
      <c r="CO31" s="471">
        <f t="shared" si="31"/>
        <v>0</v>
      </c>
      <c r="CP31" s="471">
        <f t="shared" si="31"/>
        <v>0</v>
      </c>
      <c r="CQ31" s="471">
        <f t="shared" si="31"/>
        <v>0</v>
      </c>
      <c r="CR31" s="471">
        <f t="shared" si="31"/>
        <v>0</v>
      </c>
      <c r="CS31" s="471">
        <f t="shared" si="31"/>
        <v>0</v>
      </c>
      <c r="CT31" s="471">
        <f t="shared" si="31"/>
        <v>0</v>
      </c>
      <c r="CU31" s="471">
        <f t="shared" si="31"/>
        <v>0</v>
      </c>
      <c r="CV31" s="471">
        <f t="shared" si="31"/>
        <v>0</v>
      </c>
      <c r="CW31" s="471">
        <f t="shared" si="31"/>
        <v>0</v>
      </c>
      <c r="CX31" s="471">
        <f t="shared" si="31"/>
        <v>0</v>
      </c>
      <c r="CY31" s="471">
        <f t="shared" si="31"/>
        <v>0</v>
      </c>
      <c r="CZ31" s="471">
        <f t="shared" si="31"/>
        <v>0</v>
      </c>
      <c r="DA31" s="471">
        <f t="shared" si="31"/>
        <v>0</v>
      </c>
      <c r="DB31" s="471">
        <f t="shared" si="31"/>
        <v>0</v>
      </c>
      <c r="DC31" s="471">
        <f t="shared" si="31"/>
        <v>0</v>
      </c>
    </row>
    <row r="32" spans="2:107" ht="15" customHeight="1" x14ac:dyDescent="0.25">
      <c r="B32" s="900"/>
      <c r="C32" s="239" t="s">
        <v>4209</v>
      </c>
      <c r="D32" s="239"/>
      <c r="E32" s="558" t="s">
        <v>4210</v>
      </c>
      <c r="F32" s="232"/>
      <c r="G32" s="237" t="str">
        <f>IF(COUNTA(H32:DC32)=0,"",IF(OR(LARGE(H32:DC32,1)&gt;365,SMALL(H32:DC32,1)&lt;0),"ERRO",""))</f>
        <v/>
      </c>
      <c r="H32" s="471">
        <f t="shared" ref="H32:Y32" si="32">H12</f>
        <v>0</v>
      </c>
      <c r="I32" s="471">
        <f t="shared" si="32"/>
        <v>0</v>
      </c>
      <c r="J32" s="471">
        <f t="shared" si="32"/>
        <v>0</v>
      </c>
      <c r="K32" s="471">
        <f t="shared" si="32"/>
        <v>0</v>
      </c>
      <c r="L32" s="471">
        <f t="shared" si="32"/>
        <v>0</v>
      </c>
      <c r="M32" s="471">
        <f t="shared" si="32"/>
        <v>0</v>
      </c>
      <c r="N32" s="471">
        <f t="shared" si="32"/>
        <v>0</v>
      </c>
      <c r="O32" s="471">
        <f t="shared" si="32"/>
        <v>0</v>
      </c>
      <c r="P32" s="471">
        <f t="shared" si="32"/>
        <v>0</v>
      </c>
      <c r="Q32" s="471">
        <f t="shared" si="32"/>
        <v>0</v>
      </c>
      <c r="R32" s="471">
        <f t="shared" si="32"/>
        <v>0</v>
      </c>
      <c r="S32" s="471">
        <f t="shared" si="32"/>
        <v>0</v>
      </c>
      <c r="T32" s="471">
        <f t="shared" si="32"/>
        <v>0</v>
      </c>
      <c r="U32" s="471">
        <f t="shared" si="32"/>
        <v>0</v>
      </c>
      <c r="V32" s="471">
        <f t="shared" si="32"/>
        <v>0</v>
      </c>
      <c r="W32" s="471">
        <f t="shared" si="32"/>
        <v>0</v>
      </c>
      <c r="X32" s="471">
        <f t="shared" si="32"/>
        <v>0</v>
      </c>
      <c r="Y32" s="471">
        <f t="shared" si="32"/>
        <v>0</v>
      </c>
      <c r="Z32" s="471">
        <f t="shared" ref="Z32:CK32" si="33">Z12</f>
        <v>0</v>
      </c>
      <c r="AA32" s="471">
        <f t="shared" si="33"/>
        <v>0</v>
      </c>
      <c r="AB32" s="471">
        <f t="shared" si="33"/>
        <v>0</v>
      </c>
      <c r="AC32" s="471">
        <f t="shared" si="33"/>
        <v>0</v>
      </c>
      <c r="AD32" s="471">
        <f t="shared" si="33"/>
        <v>0</v>
      </c>
      <c r="AE32" s="471">
        <f t="shared" si="33"/>
        <v>0</v>
      </c>
      <c r="AF32" s="471">
        <f t="shared" si="33"/>
        <v>0</v>
      </c>
      <c r="AG32" s="471">
        <f t="shared" si="33"/>
        <v>0</v>
      </c>
      <c r="AH32" s="471">
        <f t="shared" si="33"/>
        <v>0</v>
      </c>
      <c r="AI32" s="471">
        <f t="shared" si="33"/>
        <v>0</v>
      </c>
      <c r="AJ32" s="471">
        <f t="shared" si="33"/>
        <v>0</v>
      </c>
      <c r="AK32" s="471">
        <f t="shared" si="33"/>
        <v>0</v>
      </c>
      <c r="AL32" s="471">
        <f t="shared" si="33"/>
        <v>0</v>
      </c>
      <c r="AM32" s="471">
        <f t="shared" si="33"/>
        <v>0</v>
      </c>
      <c r="AN32" s="471">
        <f t="shared" si="33"/>
        <v>0</v>
      </c>
      <c r="AO32" s="471">
        <f t="shared" si="33"/>
        <v>0</v>
      </c>
      <c r="AP32" s="471">
        <f t="shared" si="33"/>
        <v>0</v>
      </c>
      <c r="AQ32" s="471">
        <f t="shared" si="33"/>
        <v>0</v>
      </c>
      <c r="AR32" s="471">
        <f t="shared" si="33"/>
        <v>0</v>
      </c>
      <c r="AS32" s="471">
        <f t="shared" si="33"/>
        <v>0</v>
      </c>
      <c r="AT32" s="471">
        <f t="shared" si="33"/>
        <v>0</v>
      </c>
      <c r="AU32" s="471">
        <f t="shared" si="33"/>
        <v>0</v>
      </c>
      <c r="AV32" s="471">
        <f t="shared" si="33"/>
        <v>0</v>
      </c>
      <c r="AW32" s="471">
        <f t="shared" si="33"/>
        <v>0</v>
      </c>
      <c r="AX32" s="471">
        <f t="shared" si="33"/>
        <v>0</v>
      </c>
      <c r="AY32" s="471">
        <f t="shared" si="33"/>
        <v>0</v>
      </c>
      <c r="AZ32" s="471">
        <f t="shared" si="33"/>
        <v>0</v>
      </c>
      <c r="BA32" s="471">
        <f t="shared" si="33"/>
        <v>0</v>
      </c>
      <c r="BB32" s="471">
        <f t="shared" si="33"/>
        <v>0</v>
      </c>
      <c r="BC32" s="471">
        <f t="shared" si="33"/>
        <v>0</v>
      </c>
      <c r="BD32" s="471">
        <f t="shared" si="33"/>
        <v>0</v>
      </c>
      <c r="BE32" s="471">
        <f t="shared" si="33"/>
        <v>0</v>
      </c>
      <c r="BF32" s="471">
        <f t="shared" si="33"/>
        <v>0</v>
      </c>
      <c r="BG32" s="471">
        <f t="shared" si="33"/>
        <v>0</v>
      </c>
      <c r="BH32" s="471">
        <f t="shared" si="33"/>
        <v>0</v>
      </c>
      <c r="BI32" s="471">
        <f t="shared" si="33"/>
        <v>0</v>
      </c>
      <c r="BJ32" s="471">
        <f t="shared" si="33"/>
        <v>0</v>
      </c>
      <c r="BK32" s="471">
        <f t="shared" si="33"/>
        <v>0</v>
      </c>
      <c r="BL32" s="471">
        <f t="shared" si="33"/>
        <v>0</v>
      </c>
      <c r="BM32" s="471">
        <f t="shared" si="33"/>
        <v>0</v>
      </c>
      <c r="BN32" s="471">
        <f t="shared" si="33"/>
        <v>0</v>
      </c>
      <c r="BO32" s="471">
        <f t="shared" si="33"/>
        <v>0</v>
      </c>
      <c r="BP32" s="471">
        <f t="shared" si="33"/>
        <v>0</v>
      </c>
      <c r="BQ32" s="471">
        <f t="shared" si="33"/>
        <v>0</v>
      </c>
      <c r="BR32" s="471">
        <f t="shared" si="33"/>
        <v>0</v>
      </c>
      <c r="BS32" s="471">
        <f t="shared" si="33"/>
        <v>0</v>
      </c>
      <c r="BT32" s="471">
        <f t="shared" si="33"/>
        <v>0</v>
      </c>
      <c r="BU32" s="471">
        <f t="shared" si="33"/>
        <v>0</v>
      </c>
      <c r="BV32" s="471">
        <f t="shared" si="33"/>
        <v>0</v>
      </c>
      <c r="BW32" s="471">
        <f t="shared" si="33"/>
        <v>0</v>
      </c>
      <c r="BX32" s="471">
        <f t="shared" si="33"/>
        <v>0</v>
      </c>
      <c r="BY32" s="471">
        <f t="shared" si="33"/>
        <v>0</v>
      </c>
      <c r="BZ32" s="471">
        <f t="shared" si="33"/>
        <v>0</v>
      </c>
      <c r="CA32" s="471">
        <f t="shared" si="33"/>
        <v>0</v>
      </c>
      <c r="CB32" s="471">
        <f t="shared" si="33"/>
        <v>0</v>
      </c>
      <c r="CC32" s="471">
        <f t="shared" si="33"/>
        <v>0</v>
      </c>
      <c r="CD32" s="471">
        <f t="shared" si="33"/>
        <v>0</v>
      </c>
      <c r="CE32" s="471">
        <f t="shared" si="33"/>
        <v>0</v>
      </c>
      <c r="CF32" s="471">
        <f t="shared" si="33"/>
        <v>0</v>
      </c>
      <c r="CG32" s="471">
        <f t="shared" si="33"/>
        <v>0</v>
      </c>
      <c r="CH32" s="471">
        <f t="shared" si="33"/>
        <v>0</v>
      </c>
      <c r="CI32" s="471">
        <f t="shared" si="33"/>
        <v>0</v>
      </c>
      <c r="CJ32" s="471">
        <f t="shared" si="33"/>
        <v>0</v>
      </c>
      <c r="CK32" s="471">
        <f t="shared" si="33"/>
        <v>0</v>
      </c>
      <c r="CL32" s="471">
        <f t="shared" ref="CL32:DC32" si="34">CL12</f>
        <v>0</v>
      </c>
      <c r="CM32" s="471">
        <f t="shared" si="34"/>
        <v>0</v>
      </c>
      <c r="CN32" s="471">
        <f t="shared" si="34"/>
        <v>0</v>
      </c>
      <c r="CO32" s="471">
        <f t="shared" si="34"/>
        <v>0</v>
      </c>
      <c r="CP32" s="471">
        <f t="shared" si="34"/>
        <v>0</v>
      </c>
      <c r="CQ32" s="471">
        <f t="shared" si="34"/>
        <v>0</v>
      </c>
      <c r="CR32" s="471">
        <f t="shared" si="34"/>
        <v>0</v>
      </c>
      <c r="CS32" s="471">
        <f t="shared" si="34"/>
        <v>0</v>
      </c>
      <c r="CT32" s="471">
        <f t="shared" si="34"/>
        <v>0</v>
      </c>
      <c r="CU32" s="471">
        <f t="shared" si="34"/>
        <v>0</v>
      </c>
      <c r="CV32" s="471">
        <f t="shared" si="34"/>
        <v>0</v>
      </c>
      <c r="CW32" s="471">
        <f t="shared" si="34"/>
        <v>0</v>
      </c>
      <c r="CX32" s="471">
        <f t="shared" si="34"/>
        <v>0</v>
      </c>
      <c r="CY32" s="471">
        <f t="shared" si="34"/>
        <v>0</v>
      </c>
      <c r="CZ32" s="471">
        <f t="shared" si="34"/>
        <v>0</v>
      </c>
      <c r="DA32" s="471">
        <f t="shared" si="34"/>
        <v>0</v>
      </c>
      <c r="DB32" s="471">
        <f t="shared" si="34"/>
        <v>0</v>
      </c>
      <c r="DC32" s="471">
        <f t="shared" si="34"/>
        <v>0</v>
      </c>
    </row>
    <row r="33" spans="2:107" ht="15" customHeight="1" x14ac:dyDescent="0.25">
      <c r="B33" s="901"/>
      <c r="C33" s="225" t="s">
        <v>4211</v>
      </c>
      <c r="D33" s="225"/>
      <c r="E33" s="231" t="s">
        <v>4212</v>
      </c>
      <c r="F33" s="232" t="s">
        <v>4234</v>
      </c>
      <c r="G33" s="237" t="str">
        <f>IF(COUNTA(H33:DC33)=0,"",IF(OR(LARGE(H33:DC33,1)&gt;8760,SMALL(H33:DC33,1)&lt;0),"ERRO",""))</f>
        <v/>
      </c>
      <c r="H33" s="236">
        <f>H31*H32</f>
        <v>0</v>
      </c>
      <c r="I33" s="236">
        <f t="shared" ref="I33:Y33" si="35">I31*I32</f>
        <v>0</v>
      </c>
      <c r="J33" s="236">
        <f t="shared" si="35"/>
        <v>0</v>
      </c>
      <c r="K33" s="236">
        <f t="shared" si="35"/>
        <v>0</v>
      </c>
      <c r="L33" s="236">
        <f t="shared" si="35"/>
        <v>0</v>
      </c>
      <c r="M33" s="236">
        <f t="shared" si="35"/>
        <v>0</v>
      </c>
      <c r="N33" s="236">
        <f t="shared" si="35"/>
        <v>0</v>
      </c>
      <c r="O33" s="236">
        <f t="shared" si="35"/>
        <v>0</v>
      </c>
      <c r="P33" s="236">
        <f t="shared" si="35"/>
        <v>0</v>
      </c>
      <c r="Q33" s="236">
        <f t="shared" si="35"/>
        <v>0</v>
      </c>
      <c r="R33" s="236">
        <f t="shared" si="35"/>
        <v>0</v>
      </c>
      <c r="S33" s="236">
        <f t="shared" si="35"/>
        <v>0</v>
      </c>
      <c r="T33" s="236">
        <f t="shared" si="35"/>
        <v>0</v>
      </c>
      <c r="U33" s="236">
        <f t="shared" si="35"/>
        <v>0</v>
      </c>
      <c r="V33" s="236">
        <f t="shared" si="35"/>
        <v>0</v>
      </c>
      <c r="W33" s="236">
        <f t="shared" si="35"/>
        <v>0</v>
      </c>
      <c r="X33" s="236">
        <f t="shared" si="35"/>
        <v>0</v>
      </c>
      <c r="Y33" s="236">
        <f t="shared" si="35"/>
        <v>0</v>
      </c>
      <c r="Z33" s="236">
        <f t="shared" ref="Z33:CK33" si="36">Z31*Z32</f>
        <v>0</v>
      </c>
      <c r="AA33" s="236">
        <f t="shared" si="36"/>
        <v>0</v>
      </c>
      <c r="AB33" s="236">
        <f t="shared" si="36"/>
        <v>0</v>
      </c>
      <c r="AC33" s="236">
        <f t="shared" si="36"/>
        <v>0</v>
      </c>
      <c r="AD33" s="236">
        <f t="shared" si="36"/>
        <v>0</v>
      </c>
      <c r="AE33" s="236">
        <f t="shared" si="36"/>
        <v>0</v>
      </c>
      <c r="AF33" s="236">
        <f t="shared" si="36"/>
        <v>0</v>
      </c>
      <c r="AG33" s="236">
        <f t="shared" si="36"/>
        <v>0</v>
      </c>
      <c r="AH33" s="236">
        <f t="shared" si="36"/>
        <v>0</v>
      </c>
      <c r="AI33" s="236">
        <f t="shared" si="36"/>
        <v>0</v>
      </c>
      <c r="AJ33" s="236">
        <f t="shared" si="36"/>
        <v>0</v>
      </c>
      <c r="AK33" s="236">
        <f t="shared" si="36"/>
        <v>0</v>
      </c>
      <c r="AL33" s="236">
        <f t="shared" si="36"/>
        <v>0</v>
      </c>
      <c r="AM33" s="236">
        <f t="shared" si="36"/>
        <v>0</v>
      </c>
      <c r="AN33" s="236">
        <f t="shared" si="36"/>
        <v>0</v>
      </c>
      <c r="AO33" s="236">
        <f t="shared" si="36"/>
        <v>0</v>
      </c>
      <c r="AP33" s="236">
        <f t="shared" si="36"/>
        <v>0</v>
      </c>
      <c r="AQ33" s="236">
        <f t="shared" si="36"/>
        <v>0</v>
      </c>
      <c r="AR33" s="236">
        <f t="shared" si="36"/>
        <v>0</v>
      </c>
      <c r="AS33" s="236">
        <f t="shared" si="36"/>
        <v>0</v>
      </c>
      <c r="AT33" s="236">
        <f t="shared" si="36"/>
        <v>0</v>
      </c>
      <c r="AU33" s="236">
        <f t="shared" si="36"/>
        <v>0</v>
      </c>
      <c r="AV33" s="236">
        <f t="shared" si="36"/>
        <v>0</v>
      </c>
      <c r="AW33" s="236">
        <f t="shared" si="36"/>
        <v>0</v>
      </c>
      <c r="AX33" s="236">
        <f t="shared" si="36"/>
        <v>0</v>
      </c>
      <c r="AY33" s="236">
        <f t="shared" si="36"/>
        <v>0</v>
      </c>
      <c r="AZ33" s="236">
        <f t="shared" si="36"/>
        <v>0</v>
      </c>
      <c r="BA33" s="236">
        <f t="shared" si="36"/>
        <v>0</v>
      </c>
      <c r="BB33" s="236">
        <f t="shared" si="36"/>
        <v>0</v>
      </c>
      <c r="BC33" s="236">
        <f t="shared" si="36"/>
        <v>0</v>
      </c>
      <c r="BD33" s="236">
        <f t="shared" si="36"/>
        <v>0</v>
      </c>
      <c r="BE33" s="236">
        <f t="shared" si="36"/>
        <v>0</v>
      </c>
      <c r="BF33" s="236">
        <f t="shared" si="36"/>
        <v>0</v>
      </c>
      <c r="BG33" s="236">
        <f t="shared" si="36"/>
        <v>0</v>
      </c>
      <c r="BH33" s="236">
        <f t="shared" si="36"/>
        <v>0</v>
      </c>
      <c r="BI33" s="236">
        <f t="shared" si="36"/>
        <v>0</v>
      </c>
      <c r="BJ33" s="236">
        <f t="shared" si="36"/>
        <v>0</v>
      </c>
      <c r="BK33" s="236">
        <f t="shared" si="36"/>
        <v>0</v>
      </c>
      <c r="BL33" s="236">
        <f t="shared" si="36"/>
        <v>0</v>
      </c>
      <c r="BM33" s="236">
        <f t="shared" si="36"/>
        <v>0</v>
      </c>
      <c r="BN33" s="236">
        <f t="shared" si="36"/>
        <v>0</v>
      </c>
      <c r="BO33" s="236">
        <f t="shared" si="36"/>
        <v>0</v>
      </c>
      <c r="BP33" s="236">
        <f t="shared" si="36"/>
        <v>0</v>
      </c>
      <c r="BQ33" s="236">
        <f t="shared" si="36"/>
        <v>0</v>
      </c>
      <c r="BR33" s="236">
        <f t="shared" si="36"/>
        <v>0</v>
      </c>
      <c r="BS33" s="236">
        <f t="shared" si="36"/>
        <v>0</v>
      </c>
      <c r="BT33" s="236">
        <f t="shared" si="36"/>
        <v>0</v>
      </c>
      <c r="BU33" s="236">
        <f t="shared" si="36"/>
        <v>0</v>
      </c>
      <c r="BV33" s="236">
        <f t="shared" si="36"/>
        <v>0</v>
      </c>
      <c r="BW33" s="236">
        <f t="shared" si="36"/>
        <v>0</v>
      </c>
      <c r="BX33" s="236">
        <f t="shared" si="36"/>
        <v>0</v>
      </c>
      <c r="BY33" s="236">
        <f t="shared" si="36"/>
        <v>0</v>
      </c>
      <c r="BZ33" s="236">
        <f t="shared" si="36"/>
        <v>0</v>
      </c>
      <c r="CA33" s="236">
        <f t="shared" si="36"/>
        <v>0</v>
      </c>
      <c r="CB33" s="236">
        <f t="shared" si="36"/>
        <v>0</v>
      </c>
      <c r="CC33" s="236">
        <f t="shared" si="36"/>
        <v>0</v>
      </c>
      <c r="CD33" s="236">
        <f t="shared" si="36"/>
        <v>0</v>
      </c>
      <c r="CE33" s="236">
        <f t="shared" si="36"/>
        <v>0</v>
      </c>
      <c r="CF33" s="236">
        <f t="shared" si="36"/>
        <v>0</v>
      </c>
      <c r="CG33" s="236">
        <f t="shared" si="36"/>
        <v>0</v>
      </c>
      <c r="CH33" s="236">
        <f t="shared" si="36"/>
        <v>0</v>
      </c>
      <c r="CI33" s="236">
        <f t="shared" si="36"/>
        <v>0</v>
      </c>
      <c r="CJ33" s="236">
        <f t="shared" si="36"/>
        <v>0</v>
      </c>
      <c r="CK33" s="236">
        <f t="shared" si="36"/>
        <v>0</v>
      </c>
      <c r="CL33" s="236">
        <f t="shared" ref="CL33:DC33" si="37">CL31*CL32</f>
        <v>0</v>
      </c>
      <c r="CM33" s="236">
        <f t="shared" si="37"/>
        <v>0</v>
      </c>
      <c r="CN33" s="236">
        <f t="shared" si="37"/>
        <v>0</v>
      </c>
      <c r="CO33" s="236">
        <f t="shared" si="37"/>
        <v>0</v>
      </c>
      <c r="CP33" s="236">
        <f t="shared" si="37"/>
        <v>0</v>
      </c>
      <c r="CQ33" s="236">
        <f t="shared" si="37"/>
        <v>0</v>
      </c>
      <c r="CR33" s="236">
        <f t="shared" si="37"/>
        <v>0</v>
      </c>
      <c r="CS33" s="236">
        <f t="shared" si="37"/>
        <v>0</v>
      </c>
      <c r="CT33" s="236">
        <f t="shared" si="37"/>
        <v>0</v>
      </c>
      <c r="CU33" s="236">
        <f t="shared" si="37"/>
        <v>0</v>
      </c>
      <c r="CV33" s="236">
        <f t="shared" si="37"/>
        <v>0</v>
      </c>
      <c r="CW33" s="236">
        <f t="shared" si="37"/>
        <v>0</v>
      </c>
      <c r="CX33" s="236">
        <f t="shared" si="37"/>
        <v>0</v>
      </c>
      <c r="CY33" s="236">
        <f t="shared" si="37"/>
        <v>0</v>
      </c>
      <c r="CZ33" s="236">
        <f t="shared" si="37"/>
        <v>0</v>
      </c>
      <c r="DA33" s="236">
        <f t="shared" si="37"/>
        <v>0</v>
      </c>
      <c r="DB33" s="236">
        <f t="shared" si="37"/>
        <v>0</v>
      </c>
      <c r="DC33" s="236">
        <f t="shared" si="37"/>
        <v>0</v>
      </c>
    </row>
    <row r="34" spans="2:107" ht="15" customHeight="1" x14ac:dyDescent="0.25">
      <c r="B34" s="899">
        <v>18</v>
      </c>
      <c r="C34" s="225" t="s">
        <v>4214</v>
      </c>
      <c r="D34" s="225"/>
      <c r="E34" s="231" t="s">
        <v>4208</v>
      </c>
      <c r="F34" s="232" t="s">
        <v>4235</v>
      </c>
      <c r="G34" s="237" t="str">
        <f>IF(COUNTA(H34:DC34)=0,"",IF(OR(LARGE(H34:DC34,1)&gt;3,SMALL(H34:DC34,1)&lt;0),"ERRO",""))</f>
        <v/>
      </c>
      <c r="H34" s="471">
        <f>H14</f>
        <v>0</v>
      </c>
      <c r="I34" s="471">
        <f t="shared" ref="I34:Y34" si="38">I14</f>
        <v>0</v>
      </c>
      <c r="J34" s="471">
        <f t="shared" si="38"/>
        <v>0</v>
      </c>
      <c r="K34" s="471">
        <f t="shared" si="38"/>
        <v>0</v>
      </c>
      <c r="L34" s="471">
        <f t="shared" si="38"/>
        <v>0</v>
      </c>
      <c r="M34" s="471">
        <f t="shared" si="38"/>
        <v>0</v>
      </c>
      <c r="N34" s="471">
        <f t="shared" si="38"/>
        <v>0</v>
      </c>
      <c r="O34" s="471">
        <f t="shared" si="38"/>
        <v>0</v>
      </c>
      <c r="P34" s="471">
        <f t="shared" si="38"/>
        <v>0</v>
      </c>
      <c r="Q34" s="471">
        <f t="shared" si="38"/>
        <v>0</v>
      </c>
      <c r="R34" s="471">
        <f t="shared" si="38"/>
        <v>0</v>
      </c>
      <c r="S34" s="471">
        <f t="shared" si="38"/>
        <v>0</v>
      </c>
      <c r="T34" s="471">
        <f t="shared" si="38"/>
        <v>0</v>
      </c>
      <c r="U34" s="471">
        <f t="shared" si="38"/>
        <v>0</v>
      </c>
      <c r="V34" s="471">
        <f t="shared" si="38"/>
        <v>0</v>
      </c>
      <c r="W34" s="471">
        <f t="shared" si="38"/>
        <v>0</v>
      </c>
      <c r="X34" s="471">
        <f t="shared" si="38"/>
        <v>0</v>
      </c>
      <c r="Y34" s="471">
        <f t="shared" si="38"/>
        <v>0</v>
      </c>
      <c r="Z34" s="471">
        <f t="shared" ref="Z34:CK34" si="39">Z14</f>
        <v>0</v>
      </c>
      <c r="AA34" s="471">
        <f t="shared" si="39"/>
        <v>0</v>
      </c>
      <c r="AB34" s="471">
        <f t="shared" si="39"/>
        <v>0</v>
      </c>
      <c r="AC34" s="471">
        <f t="shared" si="39"/>
        <v>0</v>
      </c>
      <c r="AD34" s="471">
        <f t="shared" si="39"/>
        <v>0</v>
      </c>
      <c r="AE34" s="471">
        <f t="shared" si="39"/>
        <v>0</v>
      </c>
      <c r="AF34" s="471">
        <f t="shared" si="39"/>
        <v>0</v>
      </c>
      <c r="AG34" s="471">
        <f t="shared" si="39"/>
        <v>0</v>
      </c>
      <c r="AH34" s="471">
        <f t="shared" si="39"/>
        <v>0</v>
      </c>
      <c r="AI34" s="471">
        <f t="shared" si="39"/>
        <v>0</v>
      </c>
      <c r="AJ34" s="471">
        <f t="shared" si="39"/>
        <v>0</v>
      </c>
      <c r="AK34" s="471">
        <f t="shared" si="39"/>
        <v>0</v>
      </c>
      <c r="AL34" s="471">
        <f t="shared" si="39"/>
        <v>0</v>
      </c>
      <c r="AM34" s="471">
        <f t="shared" si="39"/>
        <v>0</v>
      </c>
      <c r="AN34" s="471">
        <f t="shared" si="39"/>
        <v>0</v>
      </c>
      <c r="AO34" s="471">
        <f t="shared" si="39"/>
        <v>0</v>
      </c>
      <c r="AP34" s="471">
        <f t="shared" si="39"/>
        <v>0</v>
      </c>
      <c r="AQ34" s="471">
        <f t="shared" si="39"/>
        <v>0</v>
      </c>
      <c r="AR34" s="471">
        <f t="shared" si="39"/>
        <v>0</v>
      </c>
      <c r="AS34" s="471">
        <f t="shared" si="39"/>
        <v>0</v>
      </c>
      <c r="AT34" s="471">
        <f t="shared" si="39"/>
        <v>0</v>
      </c>
      <c r="AU34" s="471">
        <f t="shared" si="39"/>
        <v>0</v>
      </c>
      <c r="AV34" s="471">
        <f t="shared" si="39"/>
        <v>0</v>
      </c>
      <c r="AW34" s="471">
        <f t="shared" si="39"/>
        <v>0</v>
      </c>
      <c r="AX34" s="471">
        <f t="shared" si="39"/>
        <v>0</v>
      </c>
      <c r="AY34" s="471">
        <f t="shared" si="39"/>
        <v>0</v>
      </c>
      <c r="AZ34" s="471">
        <f t="shared" si="39"/>
        <v>0</v>
      </c>
      <c r="BA34" s="471">
        <f t="shared" si="39"/>
        <v>0</v>
      </c>
      <c r="BB34" s="471">
        <f t="shared" si="39"/>
        <v>0</v>
      </c>
      <c r="BC34" s="471">
        <f t="shared" si="39"/>
        <v>0</v>
      </c>
      <c r="BD34" s="471">
        <f t="shared" si="39"/>
        <v>0</v>
      </c>
      <c r="BE34" s="471">
        <f t="shared" si="39"/>
        <v>0</v>
      </c>
      <c r="BF34" s="471">
        <f t="shared" si="39"/>
        <v>0</v>
      </c>
      <c r="BG34" s="471">
        <f t="shared" si="39"/>
        <v>0</v>
      </c>
      <c r="BH34" s="471">
        <f t="shared" si="39"/>
        <v>0</v>
      </c>
      <c r="BI34" s="471">
        <f t="shared" si="39"/>
        <v>0</v>
      </c>
      <c r="BJ34" s="471">
        <f t="shared" si="39"/>
        <v>0</v>
      </c>
      <c r="BK34" s="471">
        <f t="shared" si="39"/>
        <v>0</v>
      </c>
      <c r="BL34" s="471">
        <f t="shared" si="39"/>
        <v>0</v>
      </c>
      <c r="BM34" s="471">
        <f t="shared" si="39"/>
        <v>0</v>
      </c>
      <c r="BN34" s="471">
        <f t="shared" si="39"/>
        <v>0</v>
      </c>
      <c r="BO34" s="471">
        <f t="shared" si="39"/>
        <v>0</v>
      </c>
      <c r="BP34" s="471">
        <f t="shared" si="39"/>
        <v>0</v>
      </c>
      <c r="BQ34" s="471">
        <f t="shared" si="39"/>
        <v>0</v>
      </c>
      <c r="BR34" s="471">
        <f t="shared" si="39"/>
        <v>0</v>
      </c>
      <c r="BS34" s="471">
        <f t="shared" si="39"/>
        <v>0</v>
      </c>
      <c r="BT34" s="471">
        <f t="shared" si="39"/>
        <v>0</v>
      </c>
      <c r="BU34" s="471">
        <f t="shared" si="39"/>
        <v>0</v>
      </c>
      <c r="BV34" s="471">
        <f t="shared" si="39"/>
        <v>0</v>
      </c>
      <c r="BW34" s="471">
        <f t="shared" si="39"/>
        <v>0</v>
      </c>
      <c r="BX34" s="471">
        <f t="shared" si="39"/>
        <v>0</v>
      </c>
      <c r="BY34" s="471">
        <f t="shared" si="39"/>
        <v>0</v>
      </c>
      <c r="BZ34" s="471">
        <f t="shared" si="39"/>
        <v>0</v>
      </c>
      <c r="CA34" s="471">
        <f t="shared" si="39"/>
        <v>0</v>
      </c>
      <c r="CB34" s="471">
        <f t="shared" si="39"/>
        <v>0</v>
      </c>
      <c r="CC34" s="471">
        <f t="shared" si="39"/>
        <v>0</v>
      </c>
      <c r="CD34" s="471">
        <f t="shared" si="39"/>
        <v>0</v>
      </c>
      <c r="CE34" s="471">
        <f t="shared" si="39"/>
        <v>0</v>
      </c>
      <c r="CF34" s="471">
        <f t="shared" si="39"/>
        <v>0</v>
      </c>
      <c r="CG34" s="471">
        <f t="shared" si="39"/>
        <v>0</v>
      </c>
      <c r="CH34" s="471">
        <f t="shared" si="39"/>
        <v>0</v>
      </c>
      <c r="CI34" s="471">
        <f t="shared" si="39"/>
        <v>0</v>
      </c>
      <c r="CJ34" s="471">
        <f t="shared" si="39"/>
        <v>0</v>
      </c>
      <c r="CK34" s="471">
        <f t="shared" si="39"/>
        <v>0</v>
      </c>
      <c r="CL34" s="471">
        <f t="shared" ref="CL34:DC34" si="40">CL14</f>
        <v>0</v>
      </c>
      <c r="CM34" s="471">
        <f t="shared" si="40"/>
        <v>0</v>
      </c>
      <c r="CN34" s="471">
        <f t="shared" si="40"/>
        <v>0</v>
      </c>
      <c r="CO34" s="471">
        <f t="shared" si="40"/>
        <v>0</v>
      </c>
      <c r="CP34" s="471">
        <f t="shared" si="40"/>
        <v>0</v>
      </c>
      <c r="CQ34" s="471">
        <f t="shared" si="40"/>
        <v>0</v>
      </c>
      <c r="CR34" s="471">
        <f t="shared" si="40"/>
        <v>0</v>
      </c>
      <c r="CS34" s="471">
        <f t="shared" si="40"/>
        <v>0</v>
      </c>
      <c r="CT34" s="471">
        <f t="shared" si="40"/>
        <v>0</v>
      </c>
      <c r="CU34" s="471">
        <f t="shared" si="40"/>
        <v>0</v>
      </c>
      <c r="CV34" s="471">
        <f t="shared" si="40"/>
        <v>0</v>
      </c>
      <c r="CW34" s="471">
        <f t="shared" si="40"/>
        <v>0</v>
      </c>
      <c r="CX34" s="471">
        <f t="shared" si="40"/>
        <v>0</v>
      </c>
      <c r="CY34" s="471">
        <f t="shared" si="40"/>
        <v>0</v>
      </c>
      <c r="CZ34" s="471">
        <f t="shared" si="40"/>
        <v>0</v>
      </c>
      <c r="DA34" s="471">
        <f t="shared" si="40"/>
        <v>0</v>
      </c>
      <c r="DB34" s="471">
        <f t="shared" si="40"/>
        <v>0</v>
      </c>
      <c r="DC34" s="471">
        <f t="shared" si="40"/>
        <v>0</v>
      </c>
    </row>
    <row r="35" spans="2:107" ht="15" customHeight="1" x14ac:dyDescent="0.25">
      <c r="B35" s="900"/>
      <c r="C35" s="225" t="s">
        <v>4216</v>
      </c>
      <c r="D35" s="225"/>
      <c r="E35" s="226" t="s">
        <v>4217</v>
      </c>
      <c r="F35" s="232" t="s">
        <v>4236</v>
      </c>
      <c r="G35" s="237" t="str">
        <f>IF(COUNTA(H35:DC35)=0,"",IF(OR(LARGE(H35:DC35,1)&gt;22,SMALL(H35:DC35,1)&lt;0),"ERRO",""))</f>
        <v/>
      </c>
      <c r="H35" s="471">
        <f>H15</f>
        <v>0</v>
      </c>
      <c r="I35" s="471">
        <f t="shared" ref="I35:Y35" si="41">I15</f>
        <v>0</v>
      </c>
      <c r="J35" s="471">
        <f t="shared" si="41"/>
        <v>0</v>
      </c>
      <c r="K35" s="471">
        <f t="shared" si="41"/>
        <v>0</v>
      </c>
      <c r="L35" s="471">
        <f t="shared" si="41"/>
        <v>0</v>
      </c>
      <c r="M35" s="471">
        <f t="shared" si="41"/>
        <v>0</v>
      </c>
      <c r="N35" s="471">
        <f t="shared" si="41"/>
        <v>0</v>
      </c>
      <c r="O35" s="471">
        <f t="shared" si="41"/>
        <v>0</v>
      </c>
      <c r="P35" s="471">
        <f t="shared" si="41"/>
        <v>0</v>
      </c>
      <c r="Q35" s="471">
        <f t="shared" si="41"/>
        <v>0</v>
      </c>
      <c r="R35" s="471">
        <f t="shared" si="41"/>
        <v>0</v>
      </c>
      <c r="S35" s="471">
        <f t="shared" si="41"/>
        <v>0</v>
      </c>
      <c r="T35" s="471">
        <f t="shared" si="41"/>
        <v>0</v>
      </c>
      <c r="U35" s="471">
        <f t="shared" si="41"/>
        <v>0</v>
      </c>
      <c r="V35" s="471">
        <f t="shared" si="41"/>
        <v>0</v>
      </c>
      <c r="W35" s="471">
        <f t="shared" si="41"/>
        <v>0</v>
      </c>
      <c r="X35" s="471">
        <f t="shared" si="41"/>
        <v>0</v>
      </c>
      <c r="Y35" s="471">
        <f t="shared" si="41"/>
        <v>0</v>
      </c>
      <c r="Z35" s="471">
        <f t="shared" ref="Z35:CK35" si="42">Z15</f>
        <v>0</v>
      </c>
      <c r="AA35" s="471">
        <f t="shared" si="42"/>
        <v>0</v>
      </c>
      <c r="AB35" s="471">
        <f t="shared" si="42"/>
        <v>0</v>
      </c>
      <c r="AC35" s="471">
        <f t="shared" si="42"/>
        <v>0</v>
      </c>
      <c r="AD35" s="471">
        <f t="shared" si="42"/>
        <v>0</v>
      </c>
      <c r="AE35" s="471">
        <f t="shared" si="42"/>
        <v>0</v>
      </c>
      <c r="AF35" s="471">
        <f t="shared" si="42"/>
        <v>0</v>
      </c>
      <c r="AG35" s="471">
        <f t="shared" si="42"/>
        <v>0</v>
      </c>
      <c r="AH35" s="471">
        <f t="shared" si="42"/>
        <v>0</v>
      </c>
      <c r="AI35" s="471">
        <f t="shared" si="42"/>
        <v>0</v>
      </c>
      <c r="AJ35" s="471">
        <f t="shared" si="42"/>
        <v>0</v>
      </c>
      <c r="AK35" s="471">
        <f t="shared" si="42"/>
        <v>0</v>
      </c>
      <c r="AL35" s="471">
        <f t="shared" si="42"/>
        <v>0</v>
      </c>
      <c r="AM35" s="471">
        <f t="shared" si="42"/>
        <v>0</v>
      </c>
      <c r="AN35" s="471">
        <f t="shared" si="42"/>
        <v>0</v>
      </c>
      <c r="AO35" s="471">
        <f t="shared" si="42"/>
        <v>0</v>
      </c>
      <c r="AP35" s="471">
        <f t="shared" si="42"/>
        <v>0</v>
      </c>
      <c r="AQ35" s="471">
        <f t="shared" si="42"/>
        <v>0</v>
      </c>
      <c r="AR35" s="471">
        <f t="shared" si="42"/>
        <v>0</v>
      </c>
      <c r="AS35" s="471">
        <f t="shared" si="42"/>
        <v>0</v>
      </c>
      <c r="AT35" s="471">
        <f t="shared" si="42"/>
        <v>0</v>
      </c>
      <c r="AU35" s="471">
        <f t="shared" si="42"/>
        <v>0</v>
      </c>
      <c r="AV35" s="471">
        <f t="shared" si="42"/>
        <v>0</v>
      </c>
      <c r="AW35" s="471">
        <f t="shared" si="42"/>
        <v>0</v>
      </c>
      <c r="AX35" s="471">
        <f t="shared" si="42"/>
        <v>0</v>
      </c>
      <c r="AY35" s="471">
        <f t="shared" si="42"/>
        <v>0</v>
      </c>
      <c r="AZ35" s="471">
        <f t="shared" si="42"/>
        <v>0</v>
      </c>
      <c r="BA35" s="471">
        <f t="shared" si="42"/>
        <v>0</v>
      </c>
      <c r="BB35" s="471">
        <f t="shared" si="42"/>
        <v>0</v>
      </c>
      <c r="BC35" s="471">
        <f t="shared" si="42"/>
        <v>0</v>
      </c>
      <c r="BD35" s="471">
        <f t="shared" si="42"/>
        <v>0</v>
      </c>
      <c r="BE35" s="471">
        <f t="shared" si="42"/>
        <v>0</v>
      </c>
      <c r="BF35" s="471">
        <f t="shared" si="42"/>
        <v>0</v>
      </c>
      <c r="BG35" s="471">
        <f t="shared" si="42"/>
        <v>0</v>
      </c>
      <c r="BH35" s="471">
        <f t="shared" si="42"/>
        <v>0</v>
      </c>
      <c r="BI35" s="471">
        <f t="shared" si="42"/>
        <v>0</v>
      </c>
      <c r="BJ35" s="471">
        <f t="shared" si="42"/>
        <v>0</v>
      </c>
      <c r="BK35" s="471">
        <f t="shared" si="42"/>
        <v>0</v>
      </c>
      <c r="BL35" s="471">
        <f t="shared" si="42"/>
        <v>0</v>
      </c>
      <c r="BM35" s="471">
        <f t="shared" si="42"/>
        <v>0</v>
      </c>
      <c r="BN35" s="471">
        <f t="shared" si="42"/>
        <v>0</v>
      </c>
      <c r="BO35" s="471">
        <f t="shared" si="42"/>
        <v>0</v>
      </c>
      <c r="BP35" s="471">
        <f t="shared" si="42"/>
        <v>0</v>
      </c>
      <c r="BQ35" s="471">
        <f t="shared" si="42"/>
        <v>0</v>
      </c>
      <c r="BR35" s="471">
        <f t="shared" si="42"/>
        <v>0</v>
      </c>
      <c r="BS35" s="471">
        <f t="shared" si="42"/>
        <v>0</v>
      </c>
      <c r="BT35" s="471">
        <f t="shared" si="42"/>
        <v>0</v>
      </c>
      <c r="BU35" s="471">
        <f t="shared" si="42"/>
        <v>0</v>
      </c>
      <c r="BV35" s="471">
        <f t="shared" si="42"/>
        <v>0</v>
      </c>
      <c r="BW35" s="471">
        <f t="shared" si="42"/>
        <v>0</v>
      </c>
      <c r="BX35" s="471">
        <f t="shared" si="42"/>
        <v>0</v>
      </c>
      <c r="BY35" s="471">
        <f t="shared" si="42"/>
        <v>0</v>
      </c>
      <c r="BZ35" s="471">
        <f t="shared" si="42"/>
        <v>0</v>
      </c>
      <c r="CA35" s="471">
        <f t="shared" si="42"/>
        <v>0</v>
      </c>
      <c r="CB35" s="471">
        <f t="shared" si="42"/>
        <v>0</v>
      </c>
      <c r="CC35" s="471">
        <f t="shared" si="42"/>
        <v>0</v>
      </c>
      <c r="CD35" s="471">
        <f t="shared" si="42"/>
        <v>0</v>
      </c>
      <c r="CE35" s="471">
        <f t="shared" si="42"/>
        <v>0</v>
      </c>
      <c r="CF35" s="471">
        <f t="shared" si="42"/>
        <v>0</v>
      </c>
      <c r="CG35" s="471">
        <f t="shared" si="42"/>
        <v>0</v>
      </c>
      <c r="CH35" s="471">
        <f t="shared" si="42"/>
        <v>0</v>
      </c>
      <c r="CI35" s="471">
        <f t="shared" si="42"/>
        <v>0</v>
      </c>
      <c r="CJ35" s="471">
        <f t="shared" si="42"/>
        <v>0</v>
      </c>
      <c r="CK35" s="471">
        <f t="shared" si="42"/>
        <v>0</v>
      </c>
      <c r="CL35" s="471">
        <f t="shared" ref="CL35:DC35" si="43">CL15</f>
        <v>0</v>
      </c>
      <c r="CM35" s="471">
        <f t="shared" si="43"/>
        <v>0</v>
      </c>
      <c r="CN35" s="471">
        <f t="shared" si="43"/>
        <v>0</v>
      </c>
      <c r="CO35" s="471">
        <f t="shared" si="43"/>
        <v>0</v>
      </c>
      <c r="CP35" s="471">
        <f t="shared" si="43"/>
        <v>0</v>
      </c>
      <c r="CQ35" s="471">
        <f t="shared" si="43"/>
        <v>0</v>
      </c>
      <c r="CR35" s="471">
        <f t="shared" si="43"/>
        <v>0</v>
      </c>
      <c r="CS35" s="471">
        <f t="shared" si="43"/>
        <v>0</v>
      </c>
      <c r="CT35" s="471">
        <f t="shared" si="43"/>
        <v>0</v>
      </c>
      <c r="CU35" s="471">
        <f t="shared" si="43"/>
        <v>0</v>
      </c>
      <c r="CV35" s="471">
        <f t="shared" si="43"/>
        <v>0</v>
      </c>
      <c r="CW35" s="471">
        <f t="shared" si="43"/>
        <v>0</v>
      </c>
      <c r="CX35" s="471">
        <f t="shared" si="43"/>
        <v>0</v>
      </c>
      <c r="CY35" s="471">
        <f t="shared" si="43"/>
        <v>0</v>
      </c>
      <c r="CZ35" s="471">
        <f t="shared" si="43"/>
        <v>0</v>
      </c>
      <c r="DA35" s="471">
        <f t="shared" si="43"/>
        <v>0</v>
      </c>
      <c r="DB35" s="471">
        <f t="shared" si="43"/>
        <v>0</v>
      </c>
      <c r="DC35" s="471">
        <f t="shared" si="43"/>
        <v>0</v>
      </c>
    </row>
    <row r="36" spans="2:107" ht="15" customHeight="1" x14ac:dyDescent="0.25">
      <c r="B36" s="900"/>
      <c r="C36" s="225" t="s">
        <v>4219</v>
      </c>
      <c r="D36" s="225"/>
      <c r="E36" s="226" t="s">
        <v>4220</v>
      </c>
      <c r="F36" s="232" t="s">
        <v>4237</v>
      </c>
      <c r="G36" s="237" t="str">
        <f>IF(COUNTA(H36:DC36)=0,"",IF(OR(LARGE(H36:DC36,1)&gt;12,SMALL(H36:DC36,1)&lt;0),"ERRO",""))</f>
        <v/>
      </c>
      <c r="H36" s="471">
        <f>H16</f>
        <v>0</v>
      </c>
      <c r="I36" s="471">
        <f t="shared" ref="I36:Y36" si="44">I16</f>
        <v>0</v>
      </c>
      <c r="J36" s="471">
        <f t="shared" si="44"/>
        <v>0</v>
      </c>
      <c r="K36" s="471">
        <f t="shared" si="44"/>
        <v>0</v>
      </c>
      <c r="L36" s="471">
        <f t="shared" si="44"/>
        <v>0</v>
      </c>
      <c r="M36" s="471">
        <f t="shared" si="44"/>
        <v>0</v>
      </c>
      <c r="N36" s="471">
        <f t="shared" si="44"/>
        <v>0</v>
      </c>
      <c r="O36" s="471">
        <f t="shared" si="44"/>
        <v>0</v>
      </c>
      <c r="P36" s="471">
        <f t="shared" si="44"/>
        <v>0</v>
      </c>
      <c r="Q36" s="471">
        <f t="shared" si="44"/>
        <v>0</v>
      </c>
      <c r="R36" s="471">
        <f t="shared" si="44"/>
        <v>0</v>
      </c>
      <c r="S36" s="471">
        <f t="shared" si="44"/>
        <v>0</v>
      </c>
      <c r="T36" s="471">
        <f t="shared" si="44"/>
        <v>0</v>
      </c>
      <c r="U36" s="471">
        <f t="shared" si="44"/>
        <v>0</v>
      </c>
      <c r="V36" s="471">
        <f t="shared" si="44"/>
        <v>0</v>
      </c>
      <c r="W36" s="471">
        <f t="shared" si="44"/>
        <v>0</v>
      </c>
      <c r="X36" s="471">
        <f t="shared" si="44"/>
        <v>0</v>
      </c>
      <c r="Y36" s="471">
        <f t="shared" si="44"/>
        <v>0</v>
      </c>
      <c r="Z36" s="471">
        <f t="shared" ref="Z36:CK36" si="45">Z16</f>
        <v>0</v>
      </c>
      <c r="AA36" s="471">
        <f t="shared" si="45"/>
        <v>0</v>
      </c>
      <c r="AB36" s="471">
        <f t="shared" si="45"/>
        <v>0</v>
      </c>
      <c r="AC36" s="471">
        <f t="shared" si="45"/>
        <v>0</v>
      </c>
      <c r="AD36" s="471">
        <f t="shared" si="45"/>
        <v>0</v>
      </c>
      <c r="AE36" s="471">
        <f t="shared" si="45"/>
        <v>0</v>
      </c>
      <c r="AF36" s="471">
        <f t="shared" si="45"/>
        <v>0</v>
      </c>
      <c r="AG36" s="471">
        <f t="shared" si="45"/>
        <v>0</v>
      </c>
      <c r="AH36" s="471">
        <f t="shared" si="45"/>
        <v>0</v>
      </c>
      <c r="AI36" s="471">
        <f t="shared" si="45"/>
        <v>0</v>
      </c>
      <c r="AJ36" s="471">
        <f t="shared" si="45"/>
        <v>0</v>
      </c>
      <c r="AK36" s="471">
        <f t="shared" si="45"/>
        <v>0</v>
      </c>
      <c r="AL36" s="471">
        <f t="shared" si="45"/>
        <v>0</v>
      </c>
      <c r="AM36" s="471">
        <f t="shared" si="45"/>
        <v>0</v>
      </c>
      <c r="AN36" s="471">
        <f t="shared" si="45"/>
        <v>0</v>
      </c>
      <c r="AO36" s="471">
        <f t="shared" si="45"/>
        <v>0</v>
      </c>
      <c r="AP36" s="471">
        <f t="shared" si="45"/>
        <v>0</v>
      </c>
      <c r="AQ36" s="471">
        <f t="shared" si="45"/>
        <v>0</v>
      </c>
      <c r="AR36" s="471">
        <f t="shared" si="45"/>
        <v>0</v>
      </c>
      <c r="AS36" s="471">
        <f t="shared" si="45"/>
        <v>0</v>
      </c>
      <c r="AT36" s="471">
        <f t="shared" si="45"/>
        <v>0</v>
      </c>
      <c r="AU36" s="471">
        <f t="shared" si="45"/>
        <v>0</v>
      </c>
      <c r="AV36" s="471">
        <f t="shared" si="45"/>
        <v>0</v>
      </c>
      <c r="AW36" s="471">
        <f t="shared" si="45"/>
        <v>0</v>
      </c>
      <c r="AX36" s="471">
        <f t="shared" si="45"/>
        <v>0</v>
      </c>
      <c r="AY36" s="471">
        <f t="shared" si="45"/>
        <v>0</v>
      </c>
      <c r="AZ36" s="471">
        <f t="shared" si="45"/>
        <v>0</v>
      </c>
      <c r="BA36" s="471">
        <f t="shared" si="45"/>
        <v>0</v>
      </c>
      <c r="BB36" s="471">
        <f t="shared" si="45"/>
        <v>0</v>
      </c>
      <c r="BC36" s="471">
        <f t="shared" si="45"/>
        <v>0</v>
      </c>
      <c r="BD36" s="471">
        <f t="shared" si="45"/>
        <v>0</v>
      </c>
      <c r="BE36" s="471">
        <f t="shared" si="45"/>
        <v>0</v>
      </c>
      <c r="BF36" s="471">
        <f t="shared" si="45"/>
        <v>0</v>
      </c>
      <c r="BG36" s="471">
        <f t="shared" si="45"/>
        <v>0</v>
      </c>
      <c r="BH36" s="471">
        <f t="shared" si="45"/>
        <v>0</v>
      </c>
      <c r="BI36" s="471">
        <f t="shared" si="45"/>
        <v>0</v>
      </c>
      <c r="BJ36" s="471">
        <f t="shared" si="45"/>
        <v>0</v>
      </c>
      <c r="BK36" s="471">
        <f t="shared" si="45"/>
        <v>0</v>
      </c>
      <c r="BL36" s="471">
        <f t="shared" si="45"/>
        <v>0</v>
      </c>
      <c r="BM36" s="471">
        <f t="shared" si="45"/>
        <v>0</v>
      </c>
      <c r="BN36" s="471">
        <f t="shared" si="45"/>
        <v>0</v>
      </c>
      <c r="BO36" s="471">
        <f t="shared" si="45"/>
        <v>0</v>
      </c>
      <c r="BP36" s="471">
        <f t="shared" si="45"/>
        <v>0</v>
      </c>
      <c r="BQ36" s="471">
        <f t="shared" si="45"/>
        <v>0</v>
      </c>
      <c r="BR36" s="471">
        <f t="shared" si="45"/>
        <v>0</v>
      </c>
      <c r="BS36" s="471">
        <f t="shared" si="45"/>
        <v>0</v>
      </c>
      <c r="BT36" s="471">
        <f t="shared" si="45"/>
        <v>0</v>
      </c>
      <c r="BU36" s="471">
        <f t="shared" si="45"/>
        <v>0</v>
      </c>
      <c r="BV36" s="471">
        <f t="shared" si="45"/>
        <v>0</v>
      </c>
      <c r="BW36" s="471">
        <f t="shared" si="45"/>
        <v>0</v>
      </c>
      <c r="BX36" s="471">
        <f t="shared" si="45"/>
        <v>0</v>
      </c>
      <c r="BY36" s="471">
        <f t="shared" si="45"/>
        <v>0</v>
      </c>
      <c r="BZ36" s="471">
        <f t="shared" si="45"/>
        <v>0</v>
      </c>
      <c r="CA36" s="471">
        <f t="shared" si="45"/>
        <v>0</v>
      </c>
      <c r="CB36" s="471">
        <f t="shared" si="45"/>
        <v>0</v>
      </c>
      <c r="CC36" s="471">
        <f t="shared" si="45"/>
        <v>0</v>
      </c>
      <c r="CD36" s="471">
        <f t="shared" si="45"/>
        <v>0</v>
      </c>
      <c r="CE36" s="471">
        <f t="shared" si="45"/>
        <v>0</v>
      </c>
      <c r="CF36" s="471">
        <f t="shared" si="45"/>
        <v>0</v>
      </c>
      <c r="CG36" s="471">
        <f t="shared" si="45"/>
        <v>0</v>
      </c>
      <c r="CH36" s="471">
        <f t="shared" si="45"/>
        <v>0</v>
      </c>
      <c r="CI36" s="471">
        <f t="shared" si="45"/>
        <v>0</v>
      </c>
      <c r="CJ36" s="471">
        <f t="shared" si="45"/>
        <v>0</v>
      </c>
      <c r="CK36" s="471">
        <f t="shared" si="45"/>
        <v>0</v>
      </c>
      <c r="CL36" s="471">
        <f t="shared" ref="CL36:DC36" si="46">CL16</f>
        <v>0</v>
      </c>
      <c r="CM36" s="471">
        <f t="shared" si="46"/>
        <v>0</v>
      </c>
      <c r="CN36" s="471">
        <f t="shared" si="46"/>
        <v>0</v>
      </c>
      <c r="CO36" s="471">
        <f t="shared" si="46"/>
        <v>0</v>
      </c>
      <c r="CP36" s="471">
        <f t="shared" si="46"/>
        <v>0</v>
      </c>
      <c r="CQ36" s="471">
        <f t="shared" si="46"/>
        <v>0</v>
      </c>
      <c r="CR36" s="471">
        <f t="shared" si="46"/>
        <v>0</v>
      </c>
      <c r="CS36" s="471">
        <f t="shared" si="46"/>
        <v>0</v>
      </c>
      <c r="CT36" s="471">
        <f t="shared" si="46"/>
        <v>0</v>
      </c>
      <c r="CU36" s="471">
        <f t="shared" si="46"/>
        <v>0</v>
      </c>
      <c r="CV36" s="471">
        <f t="shared" si="46"/>
        <v>0</v>
      </c>
      <c r="CW36" s="471">
        <f t="shared" si="46"/>
        <v>0</v>
      </c>
      <c r="CX36" s="471">
        <f t="shared" si="46"/>
        <v>0</v>
      </c>
      <c r="CY36" s="471">
        <f t="shared" si="46"/>
        <v>0</v>
      </c>
      <c r="CZ36" s="471">
        <f t="shared" si="46"/>
        <v>0</v>
      </c>
      <c r="DA36" s="471">
        <f t="shared" si="46"/>
        <v>0</v>
      </c>
      <c r="DB36" s="471">
        <f t="shared" si="46"/>
        <v>0</v>
      </c>
      <c r="DC36" s="471">
        <f t="shared" si="46"/>
        <v>0</v>
      </c>
    </row>
    <row r="37" spans="2:107" ht="15" customHeight="1" x14ac:dyDescent="0.25">
      <c r="B37" s="900"/>
      <c r="C37" s="225" t="s">
        <v>4222</v>
      </c>
      <c r="D37" s="225"/>
      <c r="E37" s="231" t="s">
        <v>3857</v>
      </c>
      <c r="F37" s="232" t="s">
        <v>4238</v>
      </c>
      <c r="G37" s="554">
        <f>SUM(H37:DC37)</f>
        <v>0</v>
      </c>
      <c r="H37" s="236">
        <f>H30*((H34*H35*H36)/792)</f>
        <v>0</v>
      </c>
      <c r="I37" s="236">
        <f t="shared" ref="I37:Y37" si="47">I30*((I34*I35*I36)/792)</f>
        <v>0</v>
      </c>
      <c r="J37" s="236">
        <f t="shared" si="47"/>
        <v>0</v>
      </c>
      <c r="K37" s="236">
        <f t="shared" si="47"/>
        <v>0</v>
      </c>
      <c r="L37" s="236">
        <f t="shared" si="47"/>
        <v>0</v>
      </c>
      <c r="M37" s="236">
        <f t="shared" si="47"/>
        <v>0</v>
      </c>
      <c r="N37" s="236">
        <f t="shared" si="47"/>
        <v>0</v>
      </c>
      <c r="O37" s="236">
        <f t="shared" si="47"/>
        <v>0</v>
      </c>
      <c r="P37" s="236">
        <f t="shared" si="47"/>
        <v>0</v>
      </c>
      <c r="Q37" s="236">
        <f t="shared" si="47"/>
        <v>0</v>
      </c>
      <c r="R37" s="236">
        <f t="shared" si="47"/>
        <v>0</v>
      </c>
      <c r="S37" s="236">
        <f t="shared" si="47"/>
        <v>0</v>
      </c>
      <c r="T37" s="236">
        <f t="shared" si="47"/>
        <v>0</v>
      </c>
      <c r="U37" s="236">
        <f t="shared" si="47"/>
        <v>0</v>
      </c>
      <c r="V37" s="236">
        <f t="shared" si="47"/>
        <v>0</v>
      </c>
      <c r="W37" s="236">
        <f t="shared" si="47"/>
        <v>0</v>
      </c>
      <c r="X37" s="236">
        <f t="shared" si="47"/>
        <v>0</v>
      </c>
      <c r="Y37" s="236">
        <f t="shared" si="47"/>
        <v>0</v>
      </c>
      <c r="Z37" s="236">
        <f t="shared" ref="Z37:CK37" si="48">Z30*((Z34*Z35*Z36)/792)</f>
        <v>0</v>
      </c>
      <c r="AA37" s="236">
        <f t="shared" si="48"/>
        <v>0</v>
      </c>
      <c r="AB37" s="236">
        <f t="shared" si="48"/>
        <v>0</v>
      </c>
      <c r="AC37" s="236">
        <f t="shared" si="48"/>
        <v>0</v>
      </c>
      <c r="AD37" s="236">
        <f t="shared" si="48"/>
        <v>0</v>
      </c>
      <c r="AE37" s="236">
        <f t="shared" si="48"/>
        <v>0</v>
      </c>
      <c r="AF37" s="236">
        <f t="shared" si="48"/>
        <v>0</v>
      </c>
      <c r="AG37" s="236">
        <f t="shared" si="48"/>
        <v>0</v>
      </c>
      <c r="AH37" s="236">
        <f t="shared" si="48"/>
        <v>0</v>
      </c>
      <c r="AI37" s="236">
        <f t="shared" si="48"/>
        <v>0</v>
      </c>
      <c r="AJ37" s="236">
        <f t="shared" si="48"/>
        <v>0</v>
      </c>
      <c r="AK37" s="236">
        <f t="shared" si="48"/>
        <v>0</v>
      </c>
      <c r="AL37" s="236">
        <f t="shared" si="48"/>
        <v>0</v>
      </c>
      <c r="AM37" s="236">
        <f t="shared" si="48"/>
        <v>0</v>
      </c>
      <c r="AN37" s="236">
        <f t="shared" si="48"/>
        <v>0</v>
      </c>
      <c r="AO37" s="236">
        <f t="shared" si="48"/>
        <v>0</v>
      </c>
      <c r="AP37" s="236">
        <f t="shared" si="48"/>
        <v>0</v>
      </c>
      <c r="AQ37" s="236">
        <f t="shared" si="48"/>
        <v>0</v>
      </c>
      <c r="AR37" s="236">
        <f t="shared" si="48"/>
        <v>0</v>
      </c>
      <c r="AS37" s="236">
        <f t="shared" si="48"/>
        <v>0</v>
      </c>
      <c r="AT37" s="236">
        <f t="shared" si="48"/>
        <v>0</v>
      </c>
      <c r="AU37" s="236">
        <f t="shared" si="48"/>
        <v>0</v>
      </c>
      <c r="AV37" s="236">
        <f t="shared" si="48"/>
        <v>0</v>
      </c>
      <c r="AW37" s="236">
        <f t="shared" si="48"/>
        <v>0</v>
      </c>
      <c r="AX37" s="236">
        <f t="shared" si="48"/>
        <v>0</v>
      </c>
      <c r="AY37" s="236">
        <f t="shared" si="48"/>
        <v>0</v>
      </c>
      <c r="AZ37" s="236">
        <f t="shared" si="48"/>
        <v>0</v>
      </c>
      <c r="BA37" s="236">
        <f t="shared" si="48"/>
        <v>0</v>
      </c>
      <c r="BB37" s="236">
        <f t="shared" si="48"/>
        <v>0</v>
      </c>
      <c r="BC37" s="236">
        <f t="shared" si="48"/>
        <v>0</v>
      </c>
      <c r="BD37" s="236">
        <f t="shared" si="48"/>
        <v>0</v>
      </c>
      <c r="BE37" s="236">
        <f t="shared" si="48"/>
        <v>0</v>
      </c>
      <c r="BF37" s="236">
        <f t="shared" si="48"/>
        <v>0</v>
      </c>
      <c r="BG37" s="236">
        <f t="shared" si="48"/>
        <v>0</v>
      </c>
      <c r="BH37" s="236">
        <f t="shared" si="48"/>
        <v>0</v>
      </c>
      <c r="BI37" s="236">
        <f t="shared" si="48"/>
        <v>0</v>
      </c>
      <c r="BJ37" s="236">
        <f t="shared" si="48"/>
        <v>0</v>
      </c>
      <c r="BK37" s="236">
        <f t="shared" si="48"/>
        <v>0</v>
      </c>
      <c r="BL37" s="236">
        <f t="shared" si="48"/>
        <v>0</v>
      </c>
      <c r="BM37" s="236">
        <f t="shared" si="48"/>
        <v>0</v>
      </c>
      <c r="BN37" s="236">
        <f t="shared" si="48"/>
        <v>0</v>
      </c>
      <c r="BO37" s="236">
        <f t="shared" si="48"/>
        <v>0</v>
      </c>
      <c r="BP37" s="236">
        <f t="shared" si="48"/>
        <v>0</v>
      </c>
      <c r="BQ37" s="236">
        <f t="shared" si="48"/>
        <v>0</v>
      </c>
      <c r="BR37" s="236">
        <f t="shared" si="48"/>
        <v>0</v>
      </c>
      <c r="BS37" s="236">
        <f t="shared" si="48"/>
        <v>0</v>
      </c>
      <c r="BT37" s="236">
        <f t="shared" si="48"/>
        <v>0</v>
      </c>
      <c r="BU37" s="236">
        <f t="shared" si="48"/>
        <v>0</v>
      </c>
      <c r="BV37" s="236">
        <f t="shared" si="48"/>
        <v>0</v>
      </c>
      <c r="BW37" s="236">
        <f t="shared" si="48"/>
        <v>0</v>
      </c>
      <c r="BX37" s="236">
        <f t="shared" si="48"/>
        <v>0</v>
      </c>
      <c r="BY37" s="236">
        <f t="shared" si="48"/>
        <v>0</v>
      </c>
      <c r="BZ37" s="236">
        <f t="shared" si="48"/>
        <v>0</v>
      </c>
      <c r="CA37" s="236">
        <f t="shared" si="48"/>
        <v>0</v>
      </c>
      <c r="CB37" s="236">
        <f t="shared" si="48"/>
        <v>0</v>
      </c>
      <c r="CC37" s="236">
        <f t="shared" si="48"/>
        <v>0</v>
      </c>
      <c r="CD37" s="236">
        <f t="shared" si="48"/>
        <v>0</v>
      </c>
      <c r="CE37" s="236">
        <f t="shared" si="48"/>
        <v>0</v>
      </c>
      <c r="CF37" s="236">
        <f t="shared" si="48"/>
        <v>0</v>
      </c>
      <c r="CG37" s="236">
        <f t="shared" si="48"/>
        <v>0</v>
      </c>
      <c r="CH37" s="236">
        <f t="shared" si="48"/>
        <v>0</v>
      </c>
      <c r="CI37" s="236">
        <f t="shared" si="48"/>
        <v>0</v>
      </c>
      <c r="CJ37" s="236">
        <f t="shared" si="48"/>
        <v>0</v>
      </c>
      <c r="CK37" s="236">
        <f t="shared" si="48"/>
        <v>0</v>
      </c>
      <c r="CL37" s="236">
        <f t="shared" ref="CL37:DC37" si="49">CL30*((CL34*CL35*CL36)/792)</f>
        <v>0</v>
      </c>
      <c r="CM37" s="236">
        <f t="shared" si="49"/>
        <v>0</v>
      </c>
      <c r="CN37" s="236">
        <f t="shared" si="49"/>
        <v>0</v>
      </c>
      <c r="CO37" s="236">
        <f t="shared" si="49"/>
        <v>0</v>
      </c>
      <c r="CP37" s="236">
        <f t="shared" si="49"/>
        <v>0</v>
      </c>
      <c r="CQ37" s="236">
        <f t="shared" si="49"/>
        <v>0</v>
      </c>
      <c r="CR37" s="236">
        <f t="shared" si="49"/>
        <v>0</v>
      </c>
      <c r="CS37" s="236">
        <f t="shared" si="49"/>
        <v>0</v>
      </c>
      <c r="CT37" s="236">
        <f t="shared" si="49"/>
        <v>0</v>
      </c>
      <c r="CU37" s="236">
        <f t="shared" si="49"/>
        <v>0</v>
      </c>
      <c r="CV37" s="236">
        <f t="shared" si="49"/>
        <v>0</v>
      </c>
      <c r="CW37" s="236">
        <f t="shared" si="49"/>
        <v>0</v>
      </c>
      <c r="CX37" s="236">
        <f t="shared" si="49"/>
        <v>0</v>
      </c>
      <c r="CY37" s="236">
        <f t="shared" si="49"/>
        <v>0</v>
      </c>
      <c r="CZ37" s="236">
        <f t="shared" si="49"/>
        <v>0</v>
      </c>
      <c r="DA37" s="236">
        <f t="shared" si="49"/>
        <v>0</v>
      </c>
      <c r="DB37" s="236">
        <f t="shared" si="49"/>
        <v>0</v>
      </c>
      <c r="DC37" s="236">
        <f t="shared" si="49"/>
        <v>0</v>
      </c>
    </row>
    <row r="38" spans="2:107" ht="15" customHeight="1" x14ac:dyDescent="0.25">
      <c r="B38" s="901"/>
      <c r="C38" s="225" t="s">
        <v>4224</v>
      </c>
      <c r="D38" s="225"/>
      <c r="E38" s="225"/>
      <c r="F38" s="232" t="s">
        <v>4239</v>
      </c>
      <c r="G38" s="237" t="str">
        <f>IF(COUNTA(H38:DC38)=0,"",IF(OR(LARGE(H38:DC38,1)&gt;1,SMALL(H38:DC38,1)&lt;0),"ERRO",""))</f>
        <v/>
      </c>
      <c r="H38" s="242">
        <f>IF(H30=0,0,H37/H30)</f>
        <v>0</v>
      </c>
      <c r="I38" s="242">
        <f t="shared" ref="I38:Y38" si="50">IF(I30=0,0,I37/I30)</f>
        <v>0</v>
      </c>
      <c r="J38" s="242">
        <f t="shared" si="50"/>
        <v>0</v>
      </c>
      <c r="K38" s="242">
        <f t="shared" si="50"/>
        <v>0</v>
      </c>
      <c r="L38" s="242">
        <f t="shared" si="50"/>
        <v>0</v>
      </c>
      <c r="M38" s="242">
        <f t="shared" si="50"/>
        <v>0</v>
      </c>
      <c r="N38" s="242">
        <f t="shared" si="50"/>
        <v>0</v>
      </c>
      <c r="O38" s="242">
        <f t="shared" si="50"/>
        <v>0</v>
      </c>
      <c r="P38" s="242">
        <f t="shared" si="50"/>
        <v>0</v>
      </c>
      <c r="Q38" s="242">
        <f t="shared" si="50"/>
        <v>0</v>
      </c>
      <c r="R38" s="242">
        <f t="shared" si="50"/>
        <v>0</v>
      </c>
      <c r="S38" s="242">
        <f t="shared" si="50"/>
        <v>0</v>
      </c>
      <c r="T38" s="242">
        <f t="shared" si="50"/>
        <v>0</v>
      </c>
      <c r="U38" s="242">
        <f t="shared" si="50"/>
        <v>0</v>
      </c>
      <c r="V38" s="242">
        <f t="shared" si="50"/>
        <v>0</v>
      </c>
      <c r="W38" s="242">
        <f t="shared" si="50"/>
        <v>0</v>
      </c>
      <c r="X38" s="242">
        <f t="shared" si="50"/>
        <v>0</v>
      </c>
      <c r="Y38" s="242">
        <f t="shared" si="50"/>
        <v>0</v>
      </c>
      <c r="Z38" s="242">
        <f t="shared" ref="Z38:CK38" si="51">IF(Z30=0,0,Z37/Z30)</f>
        <v>0</v>
      </c>
      <c r="AA38" s="242">
        <f t="shared" si="51"/>
        <v>0</v>
      </c>
      <c r="AB38" s="242">
        <f t="shared" si="51"/>
        <v>0</v>
      </c>
      <c r="AC38" s="242">
        <f t="shared" si="51"/>
        <v>0</v>
      </c>
      <c r="AD38" s="242">
        <f t="shared" si="51"/>
        <v>0</v>
      </c>
      <c r="AE38" s="242">
        <f t="shared" si="51"/>
        <v>0</v>
      </c>
      <c r="AF38" s="242">
        <f t="shared" si="51"/>
        <v>0</v>
      </c>
      <c r="AG38" s="242">
        <f t="shared" si="51"/>
        <v>0</v>
      </c>
      <c r="AH38" s="242">
        <f t="shared" si="51"/>
        <v>0</v>
      </c>
      <c r="AI38" s="242">
        <f t="shared" si="51"/>
        <v>0</v>
      </c>
      <c r="AJ38" s="242">
        <f t="shared" si="51"/>
        <v>0</v>
      </c>
      <c r="AK38" s="242">
        <f t="shared" si="51"/>
        <v>0</v>
      </c>
      <c r="AL38" s="242">
        <f t="shared" si="51"/>
        <v>0</v>
      </c>
      <c r="AM38" s="242">
        <f t="shared" si="51"/>
        <v>0</v>
      </c>
      <c r="AN38" s="242">
        <f t="shared" si="51"/>
        <v>0</v>
      </c>
      <c r="AO38" s="242">
        <f t="shared" si="51"/>
        <v>0</v>
      </c>
      <c r="AP38" s="242">
        <f t="shared" si="51"/>
        <v>0</v>
      </c>
      <c r="AQ38" s="242">
        <f t="shared" si="51"/>
        <v>0</v>
      </c>
      <c r="AR38" s="242">
        <f t="shared" si="51"/>
        <v>0</v>
      </c>
      <c r="AS38" s="242">
        <f t="shared" si="51"/>
        <v>0</v>
      </c>
      <c r="AT38" s="242">
        <f t="shared" si="51"/>
        <v>0</v>
      </c>
      <c r="AU38" s="242">
        <f t="shared" si="51"/>
        <v>0</v>
      </c>
      <c r="AV38" s="242">
        <f t="shared" si="51"/>
        <v>0</v>
      </c>
      <c r="AW38" s="242">
        <f t="shared" si="51"/>
        <v>0</v>
      </c>
      <c r="AX38" s="242">
        <f t="shared" si="51"/>
        <v>0</v>
      </c>
      <c r="AY38" s="242">
        <f t="shared" si="51"/>
        <v>0</v>
      </c>
      <c r="AZ38" s="242">
        <f t="shared" si="51"/>
        <v>0</v>
      </c>
      <c r="BA38" s="242">
        <f t="shared" si="51"/>
        <v>0</v>
      </c>
      <c r="BB38" s="242">
        <f t="shared" si="51"/>
        <v>0</v>
      </c>
      <c r="BC38" s="242">
        <f t="shared" si="51"/>
        <v>0</v>
      </c>
      <c r="BD38" s="242">
        <f t="shared" si="51"/>
        <v>0</v>
      </c>
      <c r="BE38" s="242">
        <f t="shared" si="51"/>
        <v>0</v>
      </c>
      <c r="BF38" s="242">
        <f t="shared" si="51"/>
        <v>0</v>
      </c>
      <c r="BG38" s="242">
        <f t="shared" si="51"/>
        <v>0</v>
      </c>
      <c r="BH38" s="242">
        <f t="shared" si="51"/>
        <v>0</v>
      </c>
      <c r="BI38" s="242">
        <f t="shared" si="51"/>
        <v>0</v>
      </c>
      <c r="BJ38" s="242">
        <f t="shared" si="51"/>
        <v>0</v>
      </c>
      <c r="BK38" s="242">
        <f t="shared" si="51"/>
        <v>0</v>
      </c>
      <c r="BL38" s="242">
        <f t="shared" si="51"/>
        <v>0</v>
      </c>
      <c r="BM38" s="242">
        <f t="shared" si="51"/>
        <v>0</v>
      </c>
      <c r="BN38" s="242">
        <f t="shared" si="51"/>
        <v>0</v>
      </c>
      <c r="BO38" s="242">
        <f t="shared" si="51"/>
        <v>0</v>
      </c>
      <c r="BP38" s="242">
        <f t="shared" si="51"/>
        <v>0</v>
      </c>
      <c r="BQ38" s="242">
        <f t="shared" si="51"/>
        <v>0</v>
      </c>
      <c r="BR38" s="242">
        <f t="shared" si="51"/>
        <v>0</v>
      </c>
      <c r="BS38" s="242">
        <f t="shared" si="51"/>
        <v>0</v>
      </c>
      <c r="BT38" s="242">
        <f t="shared" si="51"/>
        <v>0</v>
      </c>
      <c r="BU38" s="242">
        <f t="shared" si="51"/>
        <v>0</v>
      </c>
      <c r="BV38" s="242">
        <f t="shared" si="51"/>
        <v>0</v>
      </c>
      <c r="BW38" s="242">
        <f t="shared" si="51"/>
        <v>0</v>
      </c>
      <c r="BX38" s="242">
        <f t="shared" si="51"/>
        <v>0</v>
      </c>
      <c r="BY38" s="242">
        <f t="shared" si="51"/>
        <v>0</v>
      </c>
      <c r="BZ38" s="242">
        <f t="shared" si="51"/>
        <v>0</v>
      </c>
      <c r="CA38" s="242">
        <f t="shared" si="51"/>
        <v>0</v>
      </c>
      <c r="CB38" s="242">
        <f t="shared" si="51"/>
        <v>0</v>
      </c>
      <c r="CC38" s="242">
        <f t="shared" si="51"/>
        <v>0</v>
      </c>
      <c r="CD38" s="242">
        <f t="shared" si="51"/>
        <v>0</v>
      </c>
      <c r="CE38" s="242">
        <f t="shared" si="51"/>
        <v>0</v>
      </c>
      <c r="CF38" s="242">
        <f t="shared" si="51"/>
        <v>0</v>
      </c>
      <c r="CG38" s="242">
        <f t="shared" si="51"/>
        <v>0</v>
      </c>
      <c r="CH38" s="242">
        <f t="shared" si="51"/>
        <v>0</v>
      </c>
      <c r="CI38" s="242">
        <f t="shared" si="51"/>
        <v>0</v>
      </c>
      <c r="CJ38" s="242">
        <f t="shared" si="51"/>
        <v>0</v>
      </c>
      <c r="CK38" s="242">
        <f t="shared" si="51"/>
        <v>0</v>
      </c>
      <c r="CL38" s="242">
        <f t="shared" ref="CL38:DC38" si="52">IF(CL30=0,0,CL37/CL30)</f>
        <v>0</v>
      </c>
      <c r="CM38" s="242">
        <f t="shared" si="52"/>
        <v>0</v>
      </c>
      <c r="CN38" s="242">
        <f t="shared" si="52"/>
        <v>0</v>
      </c>
      <c r="CO38" s="242">
        <f t="shared" si="52"/>
        <v>0</v>
      </c>
      <c r="CP38" s="242">
        <f t="shared" si="52"/>
        <v>0</v>
      </c>
      <c r="CQ38" s="242">
        <f t="shared" si="52"/>
        <v>0</v>
      </c>
      <c r="CR38" s="242">
        <f t="shared" si="52"/>
        <v>0</v>
      </c>
      <c r="CS38" s="242">
        <f t="shared" si="52"/>
        <v>0</v>
      </c>
      <c r="CT38" s="242">
        <f t="shared" si="52"/>
        <v>0</v>
      </c>
      <c r="CU38" s="242">
        <f t="shared" si="52"/>
        <v>0</v>
      </c>
      <c r="CV38" s="242">
        <f t="shared" si="52"/>
        <v>0</v>
      </c>
      <c r="CW38" s="242">
        <f t="shared" si="52"/>
        <v>0</v>
      </c>
      <c r="CX38" s="242">
        <f t="shared" si="52"/>
        <v>0</v>
      </c>
      <c r="CY38" s="242">
        <f t="shared" si="52"/>
        <v>0</v>
      </c>
      <c r="CZ38" s="242">
        <f t="shared" si="52"/>
        <v>0</v>
      </c>
      <c r="DA38" s="242">
        <f t="shared" si="52"/>
        <v>0</v>
      </c>
      <c r="DB38" s="242">
        <f t="shared" si="52"/>
        <v>0</v>
      </c>
      <c r="DC38" s="242">
        <f t="shared" si="52"/>
        <v>0</v>
      </c>
    </row>
    <row r="39" spans="2:107" ht="15" customHeight="1" x14ac:dyDescent="0.25">
      <c r="B39" s="515">
        <v>19</v>
      </c>
      <c r="C39" s="225" t="s">
        <v>4226</v>
      </c>
      <c r="D39" s="225"/>
      <c r="E39" s="231" t="s">
        <v>3854</v>
      </c>
      <c r="F39" s="232" t="s">
        <v>4240</v>
      </c>
      <c r="G39" s="554">
        <f>SUM(H39:DC39)</f>
        <v>0</v>
      </c>
      <c r="H39" s="241">
        <f>(H30*H33)/1000</f>
        <v>0</v>
      </c>
      <c r="I39" s="241">
        <f t="shared" ref="I39:Y39" si="53">(I30*I33)/1000</f>
        <v>0</v>
      </c>
      <c r="J39" s="241">
        <f t="shared" si="53"/>
        <v>0</v>
      </c>
      <c r="K39" s="241">
        <f t="shared" si="53"/>
        <v>0</v>
      </c>
      <c r="L39" s="241">
        <f t="shared" si="53"/>
        <v>0</v>
      </c>
      <c r="M39" s="241">
        <f t="shared" si="53"/>
        <v>0</v>
      </c>
      <c r="N39" s="241">
        <f t="shared" si="53"/>
        <v>0</v>
      </c>
      <c r="O39" s="241">
        <f t="shared" si="53"/>
        <v>0</v>
      </c>
      <c r="P39" s="241">
        <f t="shared" si="53"/>
        <v>0</v>
      </c>
      <c r="Q39" s="241">
        <f t="shared" si="53"/>
        <v>0</v>
      </c>
      <c r="R39" s="241">
        <f t="shared" si="53"/>
        <v>0</v>
      </c>
      <c r="S39" s="241">
        <f t="shared" si="53"/>
        <v>0</v>
      </c>
      <c r="T39" s="241">
        <f t="shared" si="53"/>
        <v>0</v>
      </c>
      <c r="U39" s="241">
        <f t="shared" si="53"/>
        <v>0</v>
      </c>
      <c r="V39" s="241">
        <f t="shared" si="53"/>
        <v>0</v>
      </c>
      <c r="W39" s="241">
        <f t="shared" si="53"/>
        <v>0</v>
      </c>
      <c r="X39" s="241">
        <f t="shared" si="53"/>
        <v>0</v>
      </c>
      <c r="Y39" s="241">
        <f t="shared" si="53"/>
        <v>0</v>
      </c>
      <c r="Z39" s="241">
        <f t="shared" ref="Z39:CK39" si="54">(Z30*Z33)/1000</f>
        <v>0</v>
      </c>
      <c r="AA39" s="241">
        <f t="shared" si="54"/>
        <v>0</v>
      </c>
      <c r="AB39" s="241">
        <f t="shared" si="54"/>
        <v>0</v>
      </c>
      <c r="AC39" s="241">
        <f t="shared" si="54"/>
        <v>0</v>
      </c>
      <c r="AD39" s="241">
        <f t="shared" si="54"/>
        <v>0</v>
      </c>
      <c r="AE39" s="241">
        <f t="shared" si="54"/>
        <v>0</v>
      </c>
      <c r="AF39" s="241">
        <f t="shared" si="54"/>
        <v>0</v>
      </c>
      <c r="AG39" s="241">
        <f t="shared" si="54"/>
        <v>0</v>
      </c>
      <c r="AH39" s="241">
        <f t="shared" si="54"/>
        <v>0</v>
      </c>
      <c r="AI39" s="241">
        <f t="shared" si="54"/>
        <v>0</v>
      </c>
      <c r="AJ39" s="241">
        <f t="shared" si="54"/>
        <v>0</v>
      </c>
      <c r="AK39" s="241">
        <f t="shared" si="54"/>
        <v>0</v>
      </c>
      <c r="AL39" s="241">
        <f t="shared" si="54"/>
        <v>0</v>
      </c>
      <c r="AM39" s="241">
        <f t="shared" si="54"/>
        <v>0</v>
      </c>
      <c r="AN39" s="241">
        <f t="shared" si="54"/>
        <v>0</v>
      </c>
      <c r="AO39" s="241">
        <f t="shared" si="54"/>
        <v>0</v>
      </c>
      <c r="AP39" s="241">
        <f t="shared" si="54"/>
        <v>0</v>
      </c>
      <c r="AQ39" s="241">
        <f t="shared" si="54"/>
        <v>0</v>
      </c>
      <c r="AR39" s="241">
        <f t="shared" si="54"/>
        <v>0</v>
      </c>
      <c r="AS39" s="241">
        <f t="shared" si="54"/>
        <v>0</v>
      </c>
      <c r="AT39" s="241">
        <f t="shared" si="54"/>
        <v>0</v>
      </c>
      <c r="AU39" s="241">
        <f t="shared" si="54"/>
        <v>0</v>
      </c>
      <c r="AV39" s="241">
        <f t="shared" si="54"/>
        <v>0</v>
      </c>
      <c r="AW39" s="241">
        <f t="shared" si="54"/>
        <v>0</v>
      </c>
      <c r="AX39" s="241">
        <f t="shared" si="54"/>
        <v>0</v>
      </c>
      <c r="AY39" s="241">
        <f t="shared" si="54"/>
        <v>0</v>
      </c>
      <c r="AZ39" s="241">
        <f t="shared" si="54"/>
        <v>0</v>
      </c>
      <c r="BA39" s="241">
        <f t="shared" si="54"/>
        <v>0</v>
      </c>
      <c r="BB39" s="241">
        <f t="shared" si="54"/>
        <v>0</v>
      </c>
      <c r="BC39" s="241">
        <f t="shared" si="54"/>
        <v>0</v>
      </c>
      <c r="BD39" s="241">
        <f t="shared" si="54"/>
        <v>0</v>
      </c>
      <c r="BE39" s="241">
        <f t="shared" si="54"/>
        <v>0</v>
      </c>
      <c r="BF39" s="241">
        <f t="shared" si="54"/>
        <v>0</v>
      </c>
      <c r="BG39" s="241">
        <f t="shared" si="54"/>
        <v>0</v>
      </c>
      <c r="BH39" s="241">
        <f t="shared" si="54"/>
        <v>0</v>
      </c>
      <c r="BI39" s="241">
        <f t="shared" si="54"/>
        <v>0</v>
      </c>
      <c r="BJ39" s="241">
        <f t="shared" si="54"/>
        <v>0</v>
      </c>
      <c r="BK39" s="241">
        <f t="shared" si="54"/>
        <v>0</v>
      </c>
      <c r="BL39" s="241">
        <f t="shared" si="54"/>
        <v>0</v>
      </c>
      <c r="BM39" s="241">
        <f t="shared" si="54"/>
        <v>0</v>
      </c>
      <c r="BN39" s="241">
        <f t="shared" si="54"/>
        <v>0</v>
      </c>
      <c r="BO39" s="241">
        <f t="shared" si="54"/>
        <v>0</v>
      </c>
      <c r="BP39" s="241">
        <f t="shared" si="54"/>
        <v>0</v>
      </c>
      <c r="BQ39" s="241">
        <f t="shared" si="54"/>
        <v>0</v>
      </c>
      <c r="BR39" s="241">
        <f t="shared" si="54"/>
        <v>0</v>
      </c>
      <c r="BS39" s="241">
        <f t="shared" si="54"/>
        <v>0</v>
      </c>
      <c r="BT39" s="241">
        <f t="shared" si="54"/>
        <v>0</v>
      </c>
      <c r="BU39" s="241">
        <f t="shared" si="54"/>
        <v>0</v>
      </c>
      <c r="BV39" s="241">
        <f t="shared" si="54"/>
        <v>0</v>
      </c>
      <c r="BW39" s="241">
        <f t="shared" si="54"/>
        <v>0</v>
      </c>
      <c r="BX39" s="241">
        <f t="shared" si="54"/>
        <v>0</v>
      </c>
      <c r="BY39" s="241">
        <f t="shared" si="54"/>
        <v>0</v>
      </c>
      <c r="BZ39" s="241">
        <f t="shared" si="54"/>
        <v>0</v>
      </c>
      <c r="CA39" s="241">
        <f t="shared" si="54"/>
        <v>0</v>
      </c>
      <c r="CB39" s="241">
        <f t="shared" si="54"/>
        <v>0</v>
      </c>
      <c r="CC39" s="241">
        <f t="shared" si="54"/>
        <v>0</v>
      </c>
      <c r="CD39" s="241">
        <f t="shared" si="54"/>
        <v>0</v>
      </c>
      <c r="CE39" s="241">
        <f t="shared" si="54"/>
        <v>0</v>
      </c>
      <c r="CF39" s="241">
        <f t="shared" si="54"/>
        <v>0</v>
      </c>
      <c r="CG39" s="241">
        <f t="shared" si="54"/>
        <v>0</v>
      </c>
      <c r="CH39" s="241">
        <f t="shared" si="54"/>
        <v>0</v>
      </c>
      <c r="CI39" s="241">
        <f t="shared" si="54"/>
        <v>0</v>
      </c>
      <c r="CJ39" s="241">
        <f t="shared" si="54"/>
        <v>0</v>
      </c>
      <c r="CK39" s="241">
        <f t="shared" si="54"/>
        <v>0</v>
      </c>
      <c r="CL39" s="241">
        <f t="shared" ref="CL39:DC39" si="55">(CL30*CL33)/1000</f>
        <v>0</v>
      </c>
      <c r="CM39" s="241">
        <f t="shared" si="55"/>
        <v>0</v>
      </c>
      <c r="CN39" s="241">
        <f t="shared" si="55"/>
        <v>0</v>
      </c>
      <c r="CO39" s="241">
        <f t="shared" si="55"/>
        <v>0</v>
      </c>
      <c r="CP39" s="241">
        <f t="shared" si="55"/>
        <v>0</v>
      </c>
      <c r="CQ39" s="241">
        <f t="shared" si="55"/>
        <v>0</v>
      </c>
      <c r="CR39" s="241">
        <f t="shared" si="55"/>
        <v>0</v>
      </c>
      <c r="CS39" s="241">
        <f t="shared" si="55"/>
        <v>0</v>
      </c>
      <c r="CT39" s="241">
        <f t="shared" si="55"/>
        <v>0</v>
      </c>
      <c r="CU39" s="241">
        <f t="shared" si="55"/>
        <v>0</v>
      </c>
      <c r="CV39" s="241">
        <f t="shared" si="55"/>
        <v>0</v>
      </c>
      <c r="CW39" s="241">
        <f t="shared" si="55"/>
        <v>0</v>
      </c>
      <c r="CX39" s="241">
        <f t="shared" si="55"/>
        <v>0</v>
      </c>
      <c r="CY39" s="241">
        <f t="shared" si="55"/>
        <v>0</v>
      </c>
      <c r="CZ39" s="241">
        <f t="shared" si="55"/>
        <v>0</v>
      </c>
      <c r="DA39" s="241">
        <f t="shared" si="55"/>
        <v>0</v>
      </c>
      <c r="DB39" s="241">
        <f t="shared" si="55"/>
        <v>0</v>
      </c>
      <c r="DC39" s="241">
        <f t="shared" si="55"/>
        <v>0</v>
      </c>
    </row>
    <row r="40" spans="2:107" ht="15" customHeight="1" x14ac:dyDescent="0.25">
      <c r="B40" s="515">
        <v>20</v>
      </c>
      <c r="C40" s="225" t="s">
        <v>4228</v>
      </c>
      <c r="D40" s="225"/>
      <c r="E40" s="226" t="s">
        <v>3857</v>
      </c>
      <c r="F40" s="232" t="s">
        <v>4241</v>
      </c>
      <c r="G40" s="243">
        <f>SUM(H40:DC40)</f>
        <v>0</v>
      </c>
      <c r="H40" s="244">
        <f>H30*H38</f>
        <v>0</v>
      </c>
      <c r="I40" s="244">
        <f t="shared" ref="I40:Y40" si="56">I30*I38</f>
        <v>0</v>
      </c>
      <c r="J40" s="244">
        <f t="shared" si="56"/>
        <v>0</v>
      </c>
      <c r="K40" s="244">
        <f t="shared" si="56"/>
        <v>0</v>
      </c>
      <c r="L40" s="244">
        <f t="shared" si="56"/>
        <v>0</v>
      </c>
      <c r="M40" s="244">
        <f t="shared" si="56"/>
        <v>0</v>
      </c>
      <c r="N40" s="244">
        <f t="shared" si="56"/>
        <v>0</v>
      </c>
      <c r="O40" s="244">
        <f t="shared" si="56"/>
        <v>0</v>
      </c>
      <c r="P40" s="244">
        <f t="shared" si="56"/>
        <v>0</v>
      </c>
      <c r="Q40" s="244">
        <f t="shared" si="56"/>
        <v>0</v>
      </c>
      <c r="R40" s="244">
        <f t="shared" si="56"/>
        <v>0</v>
      </c>
      <c r="S40" s="244">
        <f t="shared" si="56"/>
        <v>0</v>
      </c>
      <c r="T40" s="244">
        <f t="shared" si="56"/>
        <v>0</v>
      </c>
      <c r="U40" s="244">
        <f t="shared" si="56"/>
        <v>0</v>
      </c>
      <c r="V40" s="244">
        <f t="shared" si="56"/>
        <v>0</v>
      </c>
      <c r="W40" s="244">
        <f t="shared" si="56"/>
        <v>0</v>
      </c>
      <c r="X40" s="244">
        <f t="shared" si="56"/>
        <v>0</v>
      </c>
      <c r="Y40" s="244">
        <f t="shared" si="56"/>
        <v>0</v>
      </c>
      <c r="Z40" s="244">
        <f t="shared" ref="Z40:CK40" si="57">Z30*Z38</f>
        <v>0</v>
      </c>
      <c r="AA40" s="244">
        <f t="shared" si="57"/>
        <v>0</v>
      </c>
      <c r="AB40" s="244">
        <f t="shared" si="57"/>
        <v>0</v>
      </c>
      <c r="AC40" s="244">
        <f t="shared" si="57"/>
        <v>0</v>
      </c>
      <c r="AD40" s="244">
        <f t="shared" si="57"/>
        <v>0</v>
      </c>
      <c r="AE40" s="244">
        <f t="shared" si="57"/>
        <v>0</v>
      </c>
      <c r="AF40" s="244">
        <f t="shared" si="57"/>
        <v>0</v>
      </c>
      <c r="AG40" s="244">
        <f t="shared" si="57"/>
        <v>0</v>
      </c>
      <c r="AH40" s="244">
        <f t="shared" si="57"/>
        <v>0</v>
      </c>
      <c r="AI40" s="244">
        <f t="shared" si="57"/>
        <v>0</v>
      </c>
      <c r="AJ40" s="244">
        <f t="shared" si="57"/>
        <v>0</v>
      </c>
      <c r="AK40" s="244">
        <f t="shared" si="57"/>
        <v>0</v>
      </c>
      <c r="AL40" s="244">
        <f t="shared" si="57"/>
        <v>0</v>
      </c>
      <c r="AM40" s="244">
        <f t="shared" si="57"/>
        <v>0</v>
      </c>
      <c r="AN40" s="244">
        <f t="shared" si="57"/>
        <v>0</v>
      </c>
      <c r="AO40" s="244">
        <f t="shared" si="57"/>
        <v>0</v>
      </c>
      <c r="AP40" s="244">
        <f t="shared" si="57"/>
        <v>0</v>
      </c>
      <c r="AQ40" s="244">
        <f t="shared" si="57"/>
        <v>0</v>
      </c>
      <c r="AR40" s="244">
        <f t="shared" si="57"/>
        <v>0</v>
      </c>
      <c r="AS40" s="244">
        <f t="shared" si="57"/>
        <v>0</v>
      </c>
      <c r="AT40" s="244">
        <f t="shared" si="57"/>
        <v>0</v>
      </c>
      <c r="AU40" s="244">
        <f t="shared" si="57"/>
        <v>0</v>
      </c>
      <c r="AV40" s="244">
        <f t="shared" si="57"/>
        <v>0</v>
      </c>
      <c r="AW40" s="244">
        <f t="shared" si="57"/>
        <v>0</v>
      </c>
      <c r="AX40" s="244">
        <f t="shared" si="57"/>
        <v>0</v>
      </c>
      <c r="AY40" s="244">
        <f t="shared" si="57"/>
        <v>0</v>
      </c>
      <c r="AZ40" s="244">
        <f t="shared" si="57"/>
        <v>0</v>
      </c>
      <c r="BA40" s="244">
        <f t="shared" si="57"/>
        <v>0</v>
      </c>
      <c r="BB40" s="244">
        <f t="shared" si="57"/>
        <v>0</v>
      </c>
      <c r="BC40" s="244">
        <f t="shared" si="57"/>
        <v>0</v>
      </c>
      <c r="BD40" s="244">
        <f t="shared" si="57"/>
        <v>0</v>
      </c>
      <c r="BE40" s="244">
        <f t="shared" si="57"/>
        <v>0</v>
      </c>
      <c r="BF40" s="244">
        <f t="shared" si="57"/>
        <v>0</v>
      </c>
      <c r="BG40" s="244">
        <f t="shared" si="57"/>
        <v>0</v>
      </c>
      <c r="BH40" s="244">
        <f t="shared" si="57"/>
        <v>0</v>
      </c>
      <c r="BI40" s="244">
        <f t="shared" si="57"/>
        <v>0</v>
      </c>
      <c r="BJ40" s="244">
        <f t="shared" si="57"/>
        <v>0</v>
      </c>
      <c r="BK40" s="244">
        <f t="shared" si="57"/>
        <v>0</v>
      </c>
      <c r="BL40" s="244">
        <f t="shared" si="57"/>
        <v>0</v>
      </c>
      <c r="BM40" s="244">
        <f t="shared" si="57"/>
        <v>0</v>
      </c>
      <c r="BN40" s="244">
        <f t="shared" si="57"/>
        <v>0</v>
      </c>
      <c r="BO40" s="244">
        <f t="shared" si="57"/>
        <v>0</v>
      </c>
      <c r="BP40" s="244">
        <f t="shared" si="57"/>
        <v>0</v>
      </c>
      <c r="BQ40" s="244">
        <f t="shared" si="57"/>
        <v>0</v>
      </c>
      <c r="BR40" s="244">
        <f t="shared" si="57"/>
        <v>0</v>
      </c>
      <c r="BS40" s="244">
        <f t="shared" si="57"/>
        <v>0</v>
      </c>
      <c r="BT40" s="244">
        <f t="shared" si="57"/>
        <v>0</v>
      </c>
      <c r="BU40" s="244">
        <f t="shared" si="57"/>
        <v>0</v>
      </c>
      <c r="BV40" s="244">
        <f t="shared" si="57"/>
        <v>0</v>
      </c>
      <c r="BW40" s="244">
        <f t="shared" si="57"/>
        <v>0</v>
      </c>
      <c r="BX40" s="244">
        <f t="shared" si="57"/>
        <v>0</v>
      </c>
      <c r="BY40" s="244">
        <f t="shared" si="57"/>
        <v>0</v>
      </c>
      <c r="BZ40" s="244">
        <f t="shared" si="57"/>
        <v>0</v>
      </c>
      <c r="CA40" s="244">
        <f t="shared" si="57"/>
        <v>0</v>
      </c>
      <c r="CB40" s="244">
        <f t="shared" si="57"/>
        <v>0</v>
      </c>
      <c r="CC40" s="244">
        <f t="shared" si="57"/>
        <v>0</v>
      </c>
      <c r="CD40" s="244">
        <f t="shared" si="57"/>
        <v>0</v>
      </c>
      <c r="CE40" s="244">
        <f t="shared" si="57"/>
        <v>0</v>
      </c>
      <c r="CF40" s="244">
        <f t="shared" si="57"/>
        <v>0</v>
      </c>
      <c r="CG40" s="244">
        <f t="shared" si="57"/>
        <v>0</v>
      </c>
      <c r="CH40" s="244">
        <f t="shared" si="57"/>
        <v>0</v>
      </c>
      <c r="CI40" s="244">
        <f t="shared" si="57"/>
        <v>0</v>
      </c>
      <c r="CJ40" s="244">
        <f t="shared" si="57"/>
        <v>0</v>
      </c>
      <c r="CK40" s="244">
        <f t="shared" si="57"/>
        <v>0</v>
      </c>
      <c r="CL40" s="244">
        <f t="shared" ref="CL40:DC40" si="58">CL30*CL38</f>
        <v>0</v>
      </c>
      <c r="CM40" s="244">
        <f t="shared" si="58"/>
        <v>0</v>
      </c>
      <c r="CN40" s="244">
        <f t="shared" si="58"/>
        <v>0</v>
      </c>
      <c r="CO40" s="244">
        <f t="shared" si="58"/>
        <v>0</v>
      </c>
      <c r="CP40" s="244">
        <f t="shared" si="58"/>
        <v>0</v>
      </c>
      <c r="CQ40" s="244">
        <f t="shared" si="58"/>
        <v>0</v>
      </c>
      <c r="CR40" s="244">
        <f t="shared" si="58"/>
        <v>0</v>
      </c>
      <c r="CS40" s="244">
        <f t="shared" si="58"/>
        <v>0</v>
      </c>
      <c r="CT40" s="244">
        <f t="shared" si="58"/>
        <v>0</v>
      </c>
      <c r="CU40" s="244">
        <f t="shared" si="58"/>
        <v>0</v>
      </c>
      <c r="CV40" s="244">
        <f t="shared" si="58"/>
        <v>0</v>
      </c>
      <c r="CW40" s="244">
        <f t="shared" si="58"/>
        <v>0</v>
      </c>
      <c r="CX40" s="244">
        <f t="shared" si="58"/>
        <v>0</v>
      </c>
      <c r="CY40" s="244">
        <f t="shared" si="58"/>
        <v>0</v>
      </c>
      <c r="CZ40" s="244">
        <f t="shared" si="58"/>
        <v>0</v>
      </c>
      <c r="DA40" s="244">
        <f t="shared" si="58"/>
        <v>0</v>
      </c>
      <c r="DB40" s="244">
        <f t="shared" si="58"/>
        <v>0</v>
      </c>
      <c r="DC40" s="244">
        <f t="shared" si="58"/>
        <v>0</v>
      </c>
    </row>
    <row r="42" spans="2:107" ht="15" customHeight="1" x14ac:dyDescent="0.25">
      <c r="B42" s="779" t="s">
        <v>4968</v>
      </c>
      <c r="C42" s="779"/>
      <c r="D42" s="779"/>
      <c r="E42" s="779"/>
      <c r="F42" s="779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</row>
    <row r="43" spans="2:107" s="103" customFormat="1" ht="15" customHeight="1" x14ac:dyDescent="0.25">
      <c r="B43" s="515"/>
      <c r="C43" s="247"/>
      <c r="D43" s="247"/>
      <c r="E43" s="247"/>
      <c r="F43" s="245"/>
      <c r="G43" s="223" t="s">
        <v>76</v>
      </c>
      <c r="H43" s="224" t="s">
        <v>4866</v>
      </c>
      <c r="I43" s="224" t="s">
        <v>4867</v>
      </c>
      <c r="J43" s="224" t="s">
        <v>4868</v>
      </c>
      <c r="K43" s="224" t="s">
        <v>4869</v>
      </c>
      <c r="L43" s="224" t="s">
        <v>4870</v>
      </c>
      <c r="M43" s="224" t="s">
        <v>4871</v>
      </c>
      <c r="N43" s="224" t="s">
        <v>4872</v>
      </c>
      <c r="O43" s="224" t="s">
        <v>4873</v>
      </c>
      <c r="P43" s="224" t="s">
        <v>4874</v>
      </c>
      <c r="Q43" s="224" t="s">
        <v>4875</v>
      </c>
      <c r="R43" s="224" t="s">
        <v>4876</v>
      </c>
      <c r="S43" s="224" t="s">
        <v>4877</v>
      </c>
      <c r="T43" s="224" t="s">
        <v>4878</v>
      </c>
      <c r="U43" s="224" t="s">
        <v>4879</v>
      </c>
      <c r="V43" s="224" t="s">
        <v>4880</v>
      </c>
      <c r="W43" s="224" t="s">
        <v>4881</v>
      </c>
      <c r="X43" s="224" t="s">
        <v>4882</v>
      </c>
      <c r="Y43" s="224" t="s">
        <v>4883</v>
      </c>
      <c r="Z43" s="224" t="s">
        <v>4884</v>
      </c>
      <c r="AA43" s="224" t="s">
        <v>4885</v>
      </c>
      <c r="AB43" s="224" t="s">
        <v>4886</v>
      </c>
      <c r="AC43" s="224" t="s">
        <v>4887</v>
      </c>
      <c r="AD43" s="224" t="s">
        <v>4888</v>
      </c>
      <c r="AE43" s="224" t="s">
        <v>4889</v>
      </c>
      <c r="AF43" s="224" t="s">
        <v>4890</v>
      </c>
      <c r="AG43" s="224" t="s">
        <v>4891</v>
      </c>
      <c r="AH43" s="224" t="s">
        <v>4892</v>
      </c>
      <c r="AI43" s="224" t="s">
        <v>4893</v>
      </c>
      <c r="AJ43" s="224" t="s">
        <v>4894</v>
      </c>
      <c r="AK43" s="224" t="s">
        <v>4895</v>
      </c>
      <c r="AL43" s="224" t="s">
        <v>4896</v>
      </c>
      <c r="AM43" s="224" t="s">
        <v>4897</v>
      </c>
      <c r="AN43" s="224" t="s">
        <v>4898</v>
      </c>
      <c r="AO43" s="224" t="s">
        <v>4899</v>
      </c>
      <c r="AP43" s="224" t="s">
        <v>4900</v>
      </c>
      <c r="AQ43" s="224" t="s">
        <v>4901</v>
      </c>
      <c r="AR43" s="224" t="s">
        <v>4902</v>
      </c>
      <c r="AS43" s="224" t="s">
        <v>4903</v>
      </c>
      <c r="AT43" s="224" t="s">
        <v>4904</v>
      </c>
      <c r="AU43" s="224" t="s">
        <v>4905</v>
      </c>
      <c r="AV43" s="224" t="s">
        <v>4906</v>
      </c>
      <c r="AW43" s="224" t="s">
        <v>4907</v>
      </c>
      <c r="AX43" s="224" t="s">
        <v>4908</v>
      </c>
      <c r="AY43" s="224" t="s">
        <v>4909</v>
      </c>
      <c r="AZ43" s="224" t="s">
        <v>4910</v>
      </c>
      <c r="BA43" s="224" t="s">
        <v>4911</v>
      </c>
      <c r="BB43" s="224" t="s">
        <v>4912</v>
      </c>
      <c r="BC43" s="224" t="s">
        <v>4913</v>
      </c>
      <c r="BD43" s="224" t="s">
        <v>4914</v>
      </c>
      <c r="BE43" s="224" t="s">
        <v>4915</v>
      </c>
      <c r="BF43" s="224" t="s">
        <v>4916</v>
      </c>
      <c r="BG43" s="224" t="s">
        <v>4917</v>
      </c>
      <c r="BH43" s="224" t="s">
        <v>4918</v>
      </c>
      <c r="BI43" s="224" t="s">
        <v>4919</v>
      </c>
      <c r="BJ43" s="224" t="s">
        <v>4920</v>
      </c>
      <c r="BK43" s="224" t="s">
        <v>4921</v>
      </c>
      <c r="BL43" s="224" t="s">
        <v>4922</v>
      </c>
      <c r="BM43" s="224" t="s">
        <v>4923</v>
      </c>
      <c r="BN43" s="224" t="s">
        <v>4924</v>
      </c>
      <c r="BO43" s="224" t="s">
        <v>4925</v>
      </c>
      <c r="BP43" s="224" t="s">
        <v>4926</v>
      </c>
      <c r="BQ43" s="224" t="s">
        <v>4927</v>
      </c>
      <c r="BR43" s="224" t="s">
        <v>4928</v>
      </c>
      <c r="BS43" s="224" t="s">
        <v>4929</v>
      </c>
      <c r="BT43" s="224" t="s">
        <v>4930</v>
      </c>
      <c r="BU43" s="224" t="s">
        <v>4931</v>
      </c>
      <c r="BV43" s="224" t="s">
        <v>4932</v>
      </c>
      <c r="BW43" s="224" t="s">
        <v>4933</v>
      </c>
      <c r="BX43" s="224" t="s">
        <v>4934</v>
      </c>
      <c r="BY43" s="224" t="s">
        <v>4935</v>
      </c>
      <c r="BZ43" s="224" t="s">
        <v>4936</v>
      </c>
      <c r="CA43" s="224" t="s">
        <v>4937</v>
      </c>
      <c r="CB43" s="224" t="s">
        <v>4938</v>
      </c>
      <c r="CC43" s="224" t="s">
        <v>4939</v>
      </c>
      <c r="CD43" s="224" t="s">
        <v>4940</v>
      </c>
      <c r="CE43" s="224" t="s">
        <v>4941</v>
      </c>
      <c r="CF43" s="224" t="s">
        <v>4942</v>
      </c>
      <c r="CG43" s="224" t="s">
        <v>4943</v>
      </c>
      <c r="CH43" s="224" t="s">
        <v>4944</v>
      </c>
      <c r="CI43" s="224" t="s">
        <v>4945</v>
      </c>
      <c r="CJ43" s="224" t="s">
        <v>4946</v>
      </c>
      <c r="CK43" s="224" t="s">
        <v>4947</v>
      </c>
      <c r="CL43" s="224" t="s">
        <v>4948</v>
      </c>
      <c r="CM43" s="224" t="s">
        <v>4949</v>
      </c>
      <c r="CN43" s="224" t="s">
        <v>4950</v>
      </c>
      <c r="CO43" s="224" t="s">
        <v>4951</v>
      </c>
      <c r="CP43" s="224" t="s">
        <v>4952</v>
      </c>
      <c r="CQ43" s="224" t="s">
        <v>4953</v>
      </c>
      <c r="CR43" s="224" t="s">
        <v>4954</v>
      </c>
      <c r="CS43" s="224" t="s">
        <v>4955</v>
      </c>
      <c r="CT43" s="224" t="s">
        <v>4956</v>
      </c>
      <c r="CU43" s="224" t="s">
        <v>4957</v>
      </c>
      <c r="CV43" s="224" t="s">
        <v>4958</v>
      </c>
      <c r="CW43" s="224" t="s">
        <v>4959</v>
      </c>
      <c r="CX43" s="224" t="s">
        <v>4960</v>
      </c>
      <c r="CY43" s="224" t="s">
        <v>4961</v>
      </c>
      <c r="CZ43" s="224" t="s">
        <v>4962</v>
      </c>
      <c r="DA43" s="224" t="s">
        <v>4963</v>
      </c>
      <c r="DB43" s="224" t="s">
        <v>4964</v>
      </c>
      <c r="DC43" s="224" t="s">
        <v>4965</v>
      </c>
    </row>
    <row r="44" spans="2:107" ht="15" customHeight="1" x14ac:dyDescent="0.25">
      <c r="B44" s="515">
        <v>21</v>
      </c>
      <c r="C44" s="248" t="s">
        <v>3901</v>
      </c>
      <c r="D44" s="248"/>
      <c r="E44" s="557" t="s">
        <v>3857</v>
      </c>
      <c r="F44" s="232" t="s">
        <v>4243</v>
      </c>
      <c r="G44" s="243">
        <f>SUM(H44:DC44)</f>
        <v>0</v>
      </c>
      <c r="H44" s="241">
        <f>H20-H40</f>
        <v>0</v>
      </c>
      <c r="I44" s="241">
        <f t="shared" ref="I44:Y44" si="59">I20-I40</f>
        <v>0</v>
      </c>
      <c r="J44" s="241">
        <f t="shared" si="59"/>
        <v>0</v>
      </c>
      <c r="K44" s="241">
        <f t="shared" si="59"/>
        <v>0</v>
      </c>
      <c r="L44" s="241">
        <f t="shared" si="59"/>
        <v>0</v>
      </c>
      <c r="M44" s="241">
        <f t="shared" si="59"/>
        <v>0</v>
      </c>
      <c r="N44" s="241">
        <f t="shared" si="59"/>
        <v>0</v>
      </c>
      <c r="O44" s="241">
        <f t="shared" si="59"/>
        <v>0</v>
      </c>
      <c r="P44" s="241">
        <f t="shared" si="59"/>
        <v>0</v>
      </c>
      <c r="Q44" s="241">
        <f t="shared" si="59"/>
        <v>0</v>
      </c>
      <c r="R44" s="241">
        <f t="shared" si="59"/>
        <v>0</v>
      </c>
      <c r="S44" s="241">
        <f t="shared" si="59"/>
        <v>0</v>
      </c>
      <c r="T44" s="241">
        <f t="shared" si="59"/>
        <v>0</v>
      </c>
      <c r="U44" s="241">
        <f t="shared" si="59"/>
        <v>0</v>
      </c>
      <c r="V44" s="241">
        <f t="shared" si="59"/>
        <v>0</v>
      </c>
      <c r="W44" s="241">
        <f t="shared" si="59"/>
        <v>0</v>
      </c>
      <c r="X44" s="241">
        <f t="shared" si="59"/>
        <v>0</v>
      </c>
      <c r="Y44" s="241">
        <f t="shared" si="59"/>
        <v>0</v>
      </c>
      <c r="Z44" s="241">
        <f t="shared" ref="Z44:CK44" si="60">Z20-Z40</f>
        <v>0</v>
      </c>
      <c r="AA44" s="241">
        <f t="shared" si="60"/>
        <v>0</v>
      </c>
      <c r="AB44" s="241">
        <f t="shared" si="60"/>
        <v>0</v>
      </c>
      <c r="AC44" s="241">
        <f t="shared" si="60"/>
        <v>0</v>
      </c>
      <c r="AD44" s="241">
        <f t="shared" si="60"/>
        <v>0</v>
      </c>
      <c r="AE44" s="241">
        <f t="shared" si="60"/>
        <v>0</v>
      </c>
      <c r="AF44" s="241">
        <f t="shared" si="60"/>
        <v>0</v>
      </c>
      <c r="AG44" s="241">
        <f t="shared" si="60"/>
        <v>0</v>
      </c>
      <c r="AH44" s="241">
        <f t="shared" si="60"/>
        <v>0</v>
      </c>
      <c r="AI44" s="241">
        <f t="shared" si="60"/>
        <v>0</v>
      </c>
      <c r="AJ44" s="241">
        <f t="shared" si="60"/>
        <v>0</v>
      </c>
      <c r="AK44" s="241">
        <f t="shared" si="60"/>
        <v>0</v>
      </c>
      <c r="AL44" s="241">
        <f t="shared" si="60"/>
        <v>0</v>
      </c>
      <c r="AM44" s="241">
        <f t="shared" si="60"/>
        <v>0</v>
      </c>
      <c r="AN44" s="241">
        <f t="shared" si="60"/>
        <v>0</v>
      </c>
      <c r="AO44" s="241">
        <f t="shared" si="60"/>
        <v>0</v>
      </c>
      <c r="AP44" s="241">
        <f t="shared" si="60"/>
        <v>0</v>
      </c>
      <c r="AQ44" s="241">
        <f t="shared" si="60"/>
        <v>0</v>
      </c>
      <c r="AR44" s="241">
        <f t="shared" si="60"/>
        <v>0</v>
      </c>
      <c r="AS44" s="241">
        <f t="shared" si="60"/>
        <v>0</v>
      </c>
      <c r="AT44" s="241">
        <f t="shared" si="60"/>
        <v>0</v>
      </c>
      <c r="AU44" s="241">
        <f t="shared" si="60"/>
        <v>0</v>
      </c>
      <c r="AV44" s="241">
        <f t="shared" si="60"/>
        <v>0</v>
      </c>
      <c r="AW44" s="241">
        <f t="shared" si="60"/>
        <v>0</v>
      </c>
      <c r="AX44" s="241">
        <f t="shared" si="60"/>
        <v>0</v>
      </c>
      <c r="AY44" s="241">
        <f t="shared" si="60"/>
        <v>0</v>
      </c>
      <c r="AZ44" s="241">
        <f t="shared" si="60"/>
        <v>0</v>
      </c>
      <c r="BA44" s="241">
        <f t="shared" si="60"/>
        <v>0</v>
      </c>
      <c r="BB44" s="241">
        <f t="shared" si="60"/>
        <v>0</v>
      </c>
      <c r="BC44" s="241">
        <f t="shared" si="60"/>
        <v>0</v>
      </c>
      <c r="BD44" s="241">
        <f t="shared" si="60"/>
        <v>0</v>
      </c>
      <c r="BE44" s="241">
        <f t="shared" si="60"/>
        <v>0</v>
      </c>
      <c r="BF44" s="241">
        <f t="shared" si="60"/>
        <v>0</v>
      </c>
      <c r="BG44" s="241">
        <f t="shared" si="60"/>
        <v>0</v>
      </c>
      <c r="BH44" s="241">
        <f t="shared" si="60"/>
        <v>0</v>
      </c>
      <c r="BI44" s="241">
        <f t="shared" si="60"/>
        <v>0</v>
      </c>
      <c r="BJ44" s="241">
        <f t="shared" si="60"/>
        <v>0</v>
      </c>
      <c r="BK44" s="241">
        <f t="shared" si="60"/>
        <v>0</v>
      </c>
      <c r="BL44" s="241">
        <f t="shared" si="60"/>
        <v>0</v>
      </c>
      <c r="BM44" s="241">
        <f t="shared" si="60"/>
        <v>0</v>
      </c>
      <c r="BN44" s="241">
        <f t="shared" si="60"/>
        <v>0</v>
      </c>
      <c r="BO44" s="241">
        <f t="shared" si="60"/>
        <v>0</v>
      </c>
      <c r="BP44" s="241">
        <f t="shared" si="60"/>
        <v>0</v>
      </c>
      <c r="BQ44" s="241">
        <f t="shared" si="60"/>
        <v>0</v>
      </c>
      <c r="BR44" s="241">
        <f t="shared" si="60"/>
        <v>0</v>
      </c>
      <c r="BS44" s="241">
        <f t="shared" si="60"/>
        <v>0</v>
      </c>
      <c r="BT44" s="241">
        <f t="shared" si="60"/>
        <v>0</v>
      </c>
      <c r="BU44" s="241">
        <f t="shared" si="60"/>
        <v>0</v>
      </c>
      <c r="BV44" s="241">
        <f t="shared" si="60"/>
        <v>0</v>
      </c>
      <c r="BW44" s="241">
        <f t="shared" si="60"/>
        <v>0</v>
      </c>
      <c r="BX44" s="241">
        <f t="shared" si="60"/>
        <v>0</v>
      </c>
      <c r="BY44" s="241">
        <f t="shared" si="60"/>
        <v>0</v>
      </c>
      <c r="BZ44" s="241">
        <f t="shared" si="60"/>
        <v>0</v>
      </c>
      <c r="CA44" s="241">
        <f t="shared" si="60"/>
        <v>0</v>
      </c>
      <c r="CB44" s="241">
        <f t="shared" si="60"/>
        <v>0</v>
      </c>
      <c r="CC44" s="241">
        <f t="shared" si="60"/>
        <v>0</v>
      </c>
      <c r="CD44" s="241">
        <f t="shared" si="60"/>
        <v>0</v>
      </c>
      <c r="CE44" s="241">
        <f t="shared" si="60"/>
        <v>0</v>
      </c>
      <c r="CF44" s="241">
        <f t="shared" si="60"/>
        <v>0</v>
      </c>
      <c r="CG44" s="241">
        <f t="shared" si="60"/>
        <v>0</v>
      </c>
      <c r="CH44" s="241">
        <f t="shared" si="60"/>
        <v>0</v>
      </c>
      <c r="CI44" s="241">
        <f t="shared" si="60"/>
        <v>0</v>
      </c>
      <c r="CJ44" s="241">
        <f t="shared" si="60"/>
        <v>0</v>
      </c>
      <c r="CK44" s="241">
        <f t="shared" si="60"/>
        <v>0</v>
      </c>
      <c r="CL44" s="241">
        <f t="shared" ref="CL44:DC44" si="61">CL20-CL40</f>
        <v>0</v>
      </c>
      <c r="CM44" s="241">
        <f t="shared" si="61"/>
        <v>0</v>
      </c>
      <c r="CN44" s="241">
        <f t="shared" si="61"/>
        <v>0</v>
      </c>
      <c r="CO44" s="241">
        <f t="shared" si="61"/>
        <v>0</v>
      </c>
      <c r="CP44" s="241">
        <f t="shared" si="61"/>
        <v>0</v>
      </c>
      <c r="CQ44" s="241">
        <f t="shared" si="61"/>
        <v>0</v>
      </c>
      <c r="CR44" s="241">
        <f t="shared" si="61"/>
        <v>0</v>
      </c>
      <c r="CS44" s="241">
        <f t="shared" si="61"/>
        <v>0</v>
      </c>
      <c r="CT44" s="241">
        <f t="shared" si="61"/>
        <v>0</v>
      </c>
      <c r="CU44" s="241">
        <f t="shared" si="61"/>
        <v>0</v>
      </c>
      <c r="CV44" s="241">
        <f t="shared" si="61"/>
        <v>0</v>
      </c>
      <c r="CW44" s="241">
        <f t="shared" si="61"/>
        <v>0</v>
      </c>
      <c r="CX44" s="241">
        <f t="shared" si="61"/>
        <v>0</v>
      </c>
      <c r="CY44" s="241">
        <f t="shared" si="61"/>
        <v>0</v>
      </c>
      <c r="CZ44" s="241">
        <f t="shared" si="61"/>
        <v>0</v>
      </c>
      <c r="DA44" s="241">
        <f t="shared" si="61"/>
        <v>0</v>
      </c>
      <c r="DB44" s="241">
        <f t="shared" si="61"/>
        <v>0</v>
      </c>
      <c r="DC44" s="241">
        <f t="shared" si="61"/>
        <v>0</v>
      </c>
    </row>
    <row r="45" spans="2:107" ht="15" customHeight="1" x14ac:dyDescent="0.25">
      <c r="B45" s="515">
        <v>22</v>
      </c>
      <c r="C45" s="249" t="s">
        <v>4244</v>
      </c>
      <c r="D45" s="356">
        <f>'Escolha tarifa'!F17</f>
        <v>0</v>
      </c>
      <c r="E45" s="558" t="s">
        <v>3912</v>
      </c>
      <c r="F45" s="232" t="s">
        <v>4245</v>
      </c>
      <c r="G45" s="251">
        <f>IF(G20=0,0,G44/G20)</f>
        <v>0</v>
      </c>
      <c r="H45" s="252">
        <f>IF(H20=0,0,H44/H20)</f>
        <v>0</v>
      </c>
      <c r="I45" s="252">
        <f t="shared" ref="I45:Y45" si="62">IF(I20=0,0,I44/I20)</f>
        <v>0</v>
      </c>
      <c r="J45" s="252">
        <f t="shared" si="62"/>
        <v>0</v>
      </c>
      <c r="K45" s="252">
        <f t="shared" si="62"/>
        <v>0</v>
      </c>
      <c r="L45" s="252">
        <f t="shared" si="62"/>
        <v>0</v>
      </c>
      <c r="M45" s="252">
        <f t="shared" si="62"/>
        <v>0</v>
      </c>
      <c r="N45" s="252">
        <f t="shared" si="62"/>
        <v>0</v>
      </c>
      <c r="O45" s="252">
        <f t="shared" si="62"/>
        <v>0</v>
      </c>
      <c r="P45" s="252">
        <f t="shared" si="62"/>
        <v>0</v>
      </c>
      <c r="Q45" s="252">
        <f t="shared" si="62"/>
        <v>0</v>
      </c>
      <c r="R45" s="252">
        <f t="shared" si="62"/>
        <v>0</v>
      </c>
      <c r="S45" s="252">
        <f t="shared" si="62"/>
        <v>0</v>
      </c>
      <c r="T45" s="252">
        <f t="shared" si="62"/>
        <v>0</v>
      </c>
      <c r="U45" s="252">
        <f t="shared" si="62"/>
        <v>0</v>
      </c>
      <c r="V45" s="252">
        <f t="shared" si="62"/>
        <v>0</v>
      </c>
      <c r="W45" s="252">
        <f t="shared" si="62"/>
        <v>0</v>
      </c>
      <c r="X45" s="252">
        <f t="shared" si="62"/>
        <v>0</v>
      </c>
      <c r="Y45" s="252">
        <f t="shared" si="62"/>
        <v>0</v>
      </c>
      <c r="Z45" s="252">
        <f t="shared" ref="Z45:CK45" si="63">IF(Z20=0,0,Z44/Z20)</f>
        <v>0</v>
      </c>
      <c r="AA45" s="252">
        <f t="shared" si="63"/>
        <v>0</v>
      </c>
      <c r="AB45" s="252">
        <f t="shared" si="63"/>
        <v>0</v>
      </c>
      <c r="AC45" s="252">
        <f t="shared" si="63"/>
        <v>0</v>
      </c>
      <c r="AD45" s="252">
        <f t="shared" si="63"/>
        <v>0</v>
      </c>
      <c r="AE45" s="252">
        <f t="shared" si="63"/>
        <v>0</v>
      </c>
      <c r="AF45" s="252">
        <f t="shared" si="63"/>
        <v>0</v>
      </c>
      <c r="AG45" s="252">
        <f t="shared" si="63"/>
        <v>0</v>
      </c>
      <c r="AH45" s="252">
        <f t="shared" si="63"/>
        <v>0</v>
      </c>
      <c r="AI45" s="252">
        <f t="shared" si="63"/>
        <v>0</v>
      </c>
      <c r="AJ45" s="252">
        <f t="shared" si="63"/>
        <v>0</v>
      </c>
      <c r="AK45" s="252">
        <f t="shared" si="63"/>
        <v>0</v>
      </c>
      <c r="AL45" s="252">
        <f t="shared" si="63"/>
        <v>0</v>
      </c>
      <c r="AM45" s="252">
        <f t="shared" si="63"/>
        <v>0</v>
      </c>
      <c r="AN45" s="252">
        <f t="shared" si="63"/>
        <v>0</v>
      </c>
      <c r="AO45" s="252">
        <f t="shared" si="63"/>
        <v>0</v>
      </c>
      <c r="AP45" s="252">
        <f t="shared" si="63"/>
        <v>0</v>
      </c>
      <c r="AQ45" s="252">
        <f t="shared" si="63"/>
        <v>0</v>
      </c>
      <c r="AR45" s="252">
        <f t="shared" si="63"/>
        <v>0</v>
      </c>
      <c r="AS45" s="252">
        <f t="shared" si="63"/>
        <v>0</v>
      </c>
      <c r="AT45" s="252">
        <f t="shared" si="63"/>
        <v>0</v>
      </c>
      <c r="AU45" s="252">
        <f t="shared" si="63"/>
        <v>0</v>
      </c>
      <c r="AV45" s="252">
        <f t="shared" si="63"/>
        <v>0</v>
      </c>
      <c r="AW45" s="252">
        <f t="shared" si="63"/>
        <v>0</v>
      </c>
      <c r="AX45" s="252">
        <f t="shared" si="63"/>
        <v>0</v>
      </c>
      <c r="AY45" s="252">
        <f t="shared" si="63"/>
        <v>0</v>
      </c>
      <c r="AZ45" s="252">
        <f t="shared" si="63"/>
        <v>0</v>
      </c>
      <c r="BA45" s="252">
        <f t="shared" si="63"/>
        <v>0</v>
      </c>
      <c r="BB45" s="252">
        <f t="shared" si="63"/>
        <v>0</v>
      </c>
      <c r="BC45" s="252">
        <f t="shared" si="63"/>
        <v>0</v>
      </c>
      <c r="BD45" s="252">
        <f t="shared" si="63"/>
        <v>0</v>
      </c>
      <c r="BE45" s="252">
        <f t="shared" si="63"/>
        <v>0</v>
      </c>
      <c r="BF45" s="252">
        <f t="shared" si="63"/>
        <v>0</v>
      </c>
      <c r="BG45" s="252">
        <f t="shared" si="63"/>
        <v>0</v>
      </c>
      <c r="BH45" s="252">
        <f t="shared" si="63"/>
        <v>0</v>
      </c>
      <c r="BI45" s="252">
        <f t="shared" si="63"/>
        <v>0</v>
      </c>
      <c r="BJ45" s="252">
        <f t="shared" si="63"/>
        <v>0</v>
      </c>
      <c r="BK45" s="252">
        <f t="shared" si="63"/>
        <v>0</v>
      </c>
      <c r="BL45" s="252">
        <f t="shared" si="63"/>
        <v>0</v>
      </c>
      <c r="BM45" s="252">
        <f t="shared" si="63"/>
        <v>0</v>
      </c>
      <c r="BN45" s="252">
        <f t="shared" si="63"/>
        <v>0</v>
      </c>
      <c r="BO45" s="252">
        <f t="shared" si="63"/>
        <v>0</v>
      </c>
      <c r="BP45" s="252">
        <f t="shared" si="63"/>
        <v>0</v>
      </c>
      <c r="BQ45" s="252">
        <f t="shared" si="63"/>
        <v>0</v>
      </c>
      <c r="BR45" s="252">
        <f t="shared" si="63"/>
        <v>0</v>
      </c>
      <c r="BS45" s="252">
        <f t="shared" si="63"/>
        <v>0</v>
      </c>
      <c r="BT45" s="252">
        <f t="shared" si="63"/>
        <v>0</v>
      </c>
      <c r="BU45" s="252">
        <f t="shared" si="63"/>
        <v>0</v>
      </c>
      <c r="BV45" s="252">
        <f t="shared" si="63"/>
        <v>0</v>
      </c>
      <c r="BW45" s="252">
        <f t="shared" si="63"/>
        <v>0</v>
      </c>
      <c r="BX45" s="252">
        <f t="shared" si="63"/>
        <v>0</v>
      </c>
      <c r="BY45" s="252">
        <f t="shared" si="63"/>
        <v>0</v>
      </c>
      <c r="BZ45" s="252">
        <f t="shared" si="63"/>
        <v>0</v>
      </c>
      <c r="CA45" s="252">
        <f t="shared" si="63"/>
        <v>0</v>
      </c>
      <c r="CB45" s="252">
        <f t="shared" si="63"/>
        <v>0</v>
      </c>
      <c r="CC45" s="252">
        <f t="shared" si="63"/>
        <v>0</v>
      </c>
      <c r="CD45" s="252">
        <f t="shared" si="63"/>
        <v>0</v>
      </c>
      <c r="CE45" s="252">
        <f t="shared" si="63"/>
        <v>0</v>
      </c>
      <c r="CF45" s="252">
        <f t="shared" si="63"/>
        <v>0</v>
      </c>
      <c r="CG45" s="252">
        <f t="shared" si="63"/>
        <v>0</v>
      </c>
      <c r="CH45" s="252">
        <f t="shared" si="63"/>
        <v>0</v>
      </c>
      <c r="CI45" s="252">
        <f t="shared" si="63"/>
        <v>0</v>
      </c>
      <c r="CJ45" s="252">
        <f t="shared" si="63"/>
        <v>0</v>
      </c>
      <c r="CK45" s="252">
        <f t="shared" si="63"/>
        <v>0</v>
      </c>
      <c r="CL45" s="252">
        <f t="shared" ref="CL45:DC45" si="64">IF(CL20=0,0,CL44/CL20)</f>
        <v>0</v>
      </c>
      <c r="CM45" s="252">
        <f t="shared" si="64"/>
        <v>0</v>
      </c>
      <c r="CN45" s="252">
        <f t="shared" si="64"/>
        <v>0</v>
      </c>
      <c r="CO45" s="252">
        <f t="shared" si="64"/>
        <v>0</v>
      </c>
      <c r="CP45" s="252">
        <f t="shared" si="64"/>
        <v>0</v>
      </c>
      <c r="CQ45" s="252">
        <f t="shared" si="64"/>
        <v>0</v>
      </c>
      <c r="CR45" s="252">
        <f t="shared" si="64"/>
        <v>0</v>
      </c>
      <c r="CS45" s="252">
        <f t="shared" si="64"/>
        <v>0</v>
      </c>
      <c r="CT45" s="252">
        <f t="shared" si="64"/>
        <v>0</v>
      </c>
      <c r="CU45" s="252">
        <f t="shared" si="64"/>
        <v>0</v>
      </c>
      <c r="CV45" s="252">
        <f t="shared" si="64"/>
        <v>0</v>
      </c>
      <c r="CW45" s="252">
        <f t="shared" si="64"/>
        <v>0</v>
      </c>
      <c r="CX45" s="252">
        <f t="shared" si="64"/>
        <v>0</v>
      </c>
      <c r="CY45" s="252">
        <f t="shared" si="64"/>
        <v>0</v>
      </c>
      <c r="CZ45" s="252">
        <f t="shared" si="64"/>
        <v>0</v>
      </c>
      <c r="DA45" s="252">
        <f t="shared" si="64"/>
        <v>0</v>
      </c>
      <c r="DB45" s="252">
        <f t="shared" si="64"/>
        <v>0</v>
      </c>
      <c r="DC45" s="252">
        <f t="shared" si="64"/>
        <v>0</v>
      </c>
    </row>
    <row r="46" spans="2:107" ht="15" customHeight="1" x14ac:dyDescent="0.25">
      <c r="B46" s="515">
        <v>23</v>
      </c>
      <c r="C46" s="248" t="s">
        <v>3900</v>
      </c>
      <c r="D46" s="248"/>
      <c r="E46" s="557" t="s">
        <v>3854</v>
      </c>
      <c r="F46" s="232" t="s">
        <v>4246</v>
      </c>
      <c r="G46" s="243">
        <f>SUM(H46:DC46)</f>
        <v>0</v>
      </c>
      <c r="H46" s="241">
        <f>H19-H39</f>
        <v>0</v>
      </c>
      <c r="I46" s="241">
        <f t="shared" ref="I46:Y46" si="65">I19-I39</f>
        <v>0</v>
      </c>
      <c r="J46" s="241">
        <f t="shared" si="65"/>
        <v>0</v>
      </c>
      <c r="K46" s="241">
        <f t="shared" si="65"/>
        <v>0</v>
      </c>
      <c r="L46" s="241">
        <f t="shared" si="65"/>
        <v>0</v>
      </c>
      <c r="M46" s="241">
        <f t="shared" si="65"/>
        <v>0</v>
      </c>
      <c r="N46" s="241">
        <f t="shared" si="65"/>
        <v>0</v>
      </c>
      <c r="O46" s="241">
        <f t="shared" si="65"/>
        <v>0</v>
      </c>
      <c r="P46" s="241">
        <f t="shared" si="65"/>
        <v>0</v>
      </c>
      <c r="Q46" s="241">
        <f t="shared" si="65"/>
        <v>0</v>
      </c>
      <c r="R46" s="241">
        <f t="shared" si="65"/>
        <v>0</v>
      </c>
      <c r="S46" s="241">
        <f t="shared" si="65"/>
        <v>0</v>
      </c>
      <c r="T46" s="241">
        <f t="shared" si="65"/>
        <v>0</v>
      </c>
      <c r="U46" s="241">
        <f t="shared" si="65"/>
        <v>0</v>
      </c>
      <c r="V46" s="241">
        <f t="shared" si="65"/>
        <v>0</v>
      </c>
      <c r="W46" s="241">
        <f t="shared" si="65"/>
        <v>0</v>
      </c>
      <c r="X46" s="241">
        <f t="shared" si="65"/>
        <v>0</v>
      </c>
      <c r="Y46" s="241">
        <f t="shared" si="65"/>
        <v>0</v>
      </c>
      <c r="Z46" s="241">
        <f t="shared" ref="Z46:CK46" si="66">Z19-Z39</f>
        <v>0</v>
      </c>
      <c r="AA46" s="241">
        <f t="shared" si="66"/>
        <v>0</v>
      </c>
      <c r="AB46" s="241">
        <f t="shared" si="66"/>
        <v>0</v>
      </c>
      <c r="AC46" s="241">
        <f t="shared" si="66"/>
        <v>0</v>
      </c>
      <c r="AD46" s="241">
        <f t="shared" si="66"/>
        <v>0</v>
      </c>
      <c r="AE46" s="241">
        <f t="shared" si="66"/>
        <v>0</v>
      </c>
      <c r="AF46" s="241">
        <f t="shared" si="66"/>
        <v>0</v>
      </c>
      <c r="AG46" s="241">
        <f t="shared" si="66"/>
        <v>0</v>
      </c>
      <c r="AH46" s="241">
        <f t="shared" si="66"/>
        <v>0</v>
      </c>
      <c r="AI46" s="241">
        <f t="shared" si="66"/>
        <v>0</v>
      </c>
      <c r="AJ46" s="241">
        <f t="shared" si="66"/>
        <v>0</v>
      </c>
      <c r="AK46" s="241">
        <f t="shared" si="66"/>
        <v>0</v>
      </c>
      <c r="AL46" s="241">
        <f t="shared" si="66"/>
        <v>0</v>
      </c>
      <c r="AM46" s="241">
        <f t="shared" si="66"/>
        <v>0</v>
      </c>
      <c r="AN46" s="241">
        <f t="shared" si="66"/>
        <v>0</v>
      </c>
      <c r="AO46" s="241">
        <f t="shared" si="66"/>
        <v>0</v>
      </c>
      <c r="AP46" s="241">
        <f t="shared" si="66"/>
        <v>0</v>
      </c>
      <c r="AQ46" s="241">
        <f t="shared" si="66"/>
        <v>0</v>
      </c>
      <c r="AR46" s="241">
        <f t="shared" si="66"/>
        <v>0</v>
      </c>
      <c r="AS46" s="241">
        <f t="shared" si="66"/>
        <v>0</v>
      </c>
      <c r="AT46" s="241">
        <f t="shared" si="66"/>
        <v>0</v>
      </c>
      <c r="AU46" s="241">
        <f t="shared" si="66"/>
        <v>0</v>
      </c>
      <c r="AV46" s="241">
        <f t="shared" si="66"/>
        <v>0</v>
      </c>
      <c r="AW46" s="241">
        <f t="shared" si="66"/>
        <v>0</v>
      </c>
      <c r="AX46" s="241">
        <f t="shared" si="66"/>
        <v>0</v>
      </c>
      <c r="AY46" s="241">
        <f t="shared" si="66"/>
        <v>0</v>
      </c>
      <c r="AZ46" s="241">
        <f t="shared" si="66"/>
        <v>0</v>
      </c>
      <c r="BA46" s="241">
        <f t="shared" si="66"/>
        <v>0</v>
      </c>
      <c r="BB46" s="241">
        <f t="shared" si="66"/>
        <v>0</v>
      </c>
      <c r="BC46" s="241">
        <f t="shared" si="66"/>
        <v>0</v>
      </c>
      <c r="BD46" s="241">
        <f t="shared" si="66"/>
        <v>0</v>
      </c>
      <c r="BE46" s="241">
        <f t="shared" si="66"/>
        <v>0</v>
      </c>
      <c r="BF46" s="241">
        <f t="shared" si="66"/>
        <v>0</v>
      </c>
      <c r="BG46" s="241">
        <f t="shared" si="66"/>
        <v>0</v>
      </c>
      <c r="BH46" s="241">
        <f t="shared" si="66"/>
        <v>0</v>
      </c>
      <c r="BI46" s="241">
        <f t="shared" si="66"/>
        <v>0</v>
      </c>
      <c r="BJ46" s="241">
        <f t="shared" si="66"/>
        <v>0</v>
      </c>
      <c r="BK46" s="241">
        <f t="shared" si="66"/>
        <v>0</v>
      </c>
      <c r="BL46" s="241">
        <f t="shared" si="66"/>
        <v>0</v>
      </c>
      <c r="BM46" s="241">
        <f t="shared" si="66"/>
        <v>0</v>
      </c>
      <c r="BN46" s="241">
        <f t="shared" si="66"/>
        <v>0</v>
      </c>
      <c r="BO46" s="241">
        <f t="shared" si="66"/>
        <v>0</v>
      </c>
      <c r="BP46" s="241">
        <f t="shared" si="66"/>
        <v>0</v>
      </c>
      <c r="BQ46" s="241">
        <f t="shared" si="66"/>
        <v>0</v>
      </c>
      <c r="BR46" s="241">
        <f t="shared" si="66"/>
        <v>0</v>
      </c>
      <c r="BS46" s="241">
        <f t="shared" si="66"/>
        <v>0</v>
      </c>
      <c r="BT46" s="241">
        <f t="shared" si="66"/>
        <v>0</v>
      </c>
      <c r="BU46" s="241">
        <f t="shared" si="66"/>
        <v>0</v>
      </c>
      <c r="BV46" s="241">
        <f t="shared" si="66"/>
        <v>0</v>
      </c>
      <c r="BW46" s="241">
        <f t="shared" si="66"/>
        <v>0</v>
      </c>
      <c r="BX46" s="241">
        <f t="shared" si="66"/>
        <v>0</v>
      </c>
      <c r="BY46" s="241">
        <f t="shared" si="66"/>
        <v>0</v>
      </c>
      <c r="BZ46" s="241">
        <f t="shared" si="66"/>
        <v>0</v>
      </c>
      <c r="CA46" s="241">
        <f t="shared" si="66"/>
        <v>0</v>
      </c>
      <c r="CB46" s="241">
        <f t="shared" si="66"/>
        <v>0</v>
      </c>
      <c r="CC46" s="241">
        <f t="shared" si="66"/>
        <v>0</v>
      </c>
      <c r="CD46" s="241">
        <f t="shared" si="66"/>
        <v>0</v>
      </c>
      <c r="CE46" s="241">
        <f t="shared" si="66"/>
        <v>0</v>
      </c>
      <c r="CF46" s="241">
        <f t="shared" si="66"/>
        <v>0</v>
      </c>
      <c r="CG46" s="241">
        <f t="shared" si="66"/>
        <v>0</v>
      </c>
      <c r="CH46" s="241">
        <f t="shared" si="66"/>
        <v>0</v>
      </c>
      <c r="CI46" s="241">
        <f t="shared" si="66"/>
        <v>0</v>
      </c>
      <c r="CJ46" s="241">
        <f t="shared" si="66"/>
        <v>0</v>
      </c>
      <c r="CK46" s="241">
        <f t="shared" si="66"/>
        <v>0</v>
      </c>
      <c r="CL46" s="241">
        <f t="shared" ref="CL46:DC46" si="67">CL19-CL39</f>
        <v>0</v>
      </c>
      <c r="CM46" s="241">
        <f t="shared" si="67"/>
        <v>0</v>
      </c>
      <c r="CN46" s="241">
        <f t="shared" si="67"/>
        <v>0</v>
      </c>
      <c r="CO46" s="241">
        <f t="shared" si="67"/>
        <v>0</v>
      </c>
      <c r="CP46" s="241">
        <f t="shared" si="67"/>
        <v>0</v>
      </c>
      <c r="CQ46" s="241">
        <f t="shared" si="67"/>
        <v>0</v>
      </c>
      <c r="CR46" s="241">
        <f t="shared" si="67"/>
        <v>0</v>
      </c>
      <c r="CS46" s="241">
        <f t="shared" si="67"/>
        <v>0</v>
      </c>
      <c r="CT46" s="241">
        <f t="shared" si="67"/>
        <v>0</v>
      </c>
      <c r="CU46" s="241">
        <f t="shared" si="67"/>
        <v>0</v>
      </c>
      <c r="CV46" s="241">
        <f t="shared" si="67"/>
        <v>0</v>
      </c>
      <c r="CW46" s="241">
        <f t="shared" si="67"/>
        <v>0</v>
      </c>
      <c r="CX46" s="241">
        <f t="shared" si="67"/>
        <v>0</v>
      </c>
      <c r="CY46" s="241">
        <f t="shared" si="67"/>
        <v>0</v>
      </c>
      <c r="CZ46" s="241">
        <f t="shared" si="67"/>
        <v>0</v>
      </c>
      <c r="DA46" s="241">
        <f t="shared" si="67"/>
        <v>0</v>
      </c>
      <c r="DB46" s="241">
        <f t="shared" si="67"/>
        <v>0</v>
      </c>
      <c r="DC46" s="241">
        <f t="shared" si="67"/>
        <v>0</v>
      </c>
    </row>
    <row r="47" spans="2:107" ht="15" customHeight="1" x14ac:dyDescent="0.25">
      <c r="B47" s="515">
        <v>24</v>
      </c>
      <c r="C47" s="249" t="s">
        <v>4247</v>
      </c>
      <c r="D47" s="356">
        <f>'Escolha tarifa'!E17</f>
        <v>0</v>
      </c>
      <c r="E47" s="558" t="s">
        <v>3912</v>
      </c>
      <c r="F47" s="232" t="s">
        <v>4248</v>
      </c>
      <c r="G47" s="251">
        <f>IF(G19=0,0,G46/G19)</f>
        <v>0</v>
      </c>
      <c r="H47" s="252">
        <f>IF(H19=0,0,H46/H19)</f>
        <v>0</v>
      </c>
      <c r="I47" s="252">
        <f t="shared" ref="I47:Y47" si="68">IF(I19=0,0,I46/I19)</f>
        <v>0</v>
      </c>
      <c r="J47" s="252">
        <f t="shared" si="68"/>
        <v>0</v>
      </c>
      <c r="K47" s="252">
        <f t="shared" si="68"/>
        <v>0</v>
      </c>
      <c r="L47" s="252">
        <f t="shared" si="68"/>
        <v>0</v>
      </c>
      <c r="M47" s="252">
        <f t="shared" si="68"/>
        <v>0</v>
      </c>
      <c r="N47" s="252">
        <f t="shared" si="68"/>
        <v>0</v>
      </c>
      <c r="O47" s="252">
        <f t="shared" si="68"/>
        <v>0</v>
      </c>
      <c r="P47" s="252">
        <f t="shared" si="68"/>
        <v>0</v>
      </c>
      <c r="Q47" s="252">
        <f t="shared" si="68"/>
        <v>0</v>
      </c>
      <c r="R47" s="252">
        <f t="shared" si="68"/>
        <v>0</v>
      </c>
      <c r="S47" s="252">
        <f t="shared" si="68"/>
        <v>0</v>
      </c>
      <c r="T47" s="252">
        <f t="shared" si="68"/>
        <v>0</v>
      </c>
      <c r="U47" s="252">
        <f t="shared" si="68"/>
        <v>0</v>
      </c>
      <c r="V47" s="252">
        <f t="shared" si="68"/>
        <v>0</v>
      </c>
      <c r="W47" s="252">
        <f t="shared" si="68"/>
        <v>0</v>
      </c>
      <c r="X47" s="252">
        <f t="shared" si="68"/>
        <v>0</v>
      </c>
      <c r="Y47" s="252">
        <f t="shared" si="68"/>
        <v>0</v>
      </c>
      <c r="Z47" s="252">
        <f t="shared" ref="Z47:CK47" si="69">IF(Z19=0,0,Z46/Z19)</f>
        <v>0</v>
      </c>
      <c r="AA47" s="252">
        <f t="shared" si="69"/>
        <v>0</v>
      </c>
      <c r="AB47" s="252">
        <f t="shared" si="69"/>
        <v>0</v>
      </c>
      <c r="AC47" s="252">
        <f t="shared" si="69"/>
        <v>0</v>
      </c>
      <c r="AD47" s="252">
        <f t="shared" si="69"/>
        <v>0</v>
      </c>
      <c r="AE47" s="252">
        <f t="shared" si="69"/>
        <v>0</v>
      </c>
      <c r="AF47" s="252">
        <f t="shared" si="69"/>
        <v>0</v>
      </c>
      <c r="AG47" s="252">
        <f t="shared" si="69"/>
        <v>0</v>
      </c>
      <c r="AH47" s="252">
        <f t="shared" si="69"/>
        <v>0</v>
      </c>
      <c r="AI47" s="252">
        <f t="shared" si="69"/>
        <v>0</v>
      </c>
      <c r="AJ47" s="252">
        <f t="shared" si="69"/>
        <v>0</v>
      </c>
      <c r="AK47" s="252">
        <f t="shared" si="69"/>
        <v>0</v>
      </c>
      <c r="AL47" s="252">
        <f t="shared" si="69"/>
        <v>0</v>
      </c>
      <c r="AM47" s="252">
        <f t="shared" si="69"/>
        <v>0</v>
      </c>
      <c r="AN47" s="252">
        <f t="shared" si="69"/>
        <v>0</v>
      </c>
      <c r="AO47" s="252">
        <f t="shared" si="69"/>
        <v>0</v>
      </c>
      <c r="AP47" s="252">
        <f t="shared" si="69"/>
        <v>0</v>
      </c>
      <c r="AQ47" s="252">
        <f t="shared" si="69"/>
        <v>0</v>
      </c>
      <c r="AR47" s="252">
        <f t="shared" si="69"/>
        <v>0</v>
      </c>
      <c r="AS47" s="252">
        <f t="shared" si="69"/>
        <v>0</v>
      </c>
      <c r="AT47" s="252">
        <f t="shared" si="69"/>
        <v>0</v>
      </c>
      <c r="AU47" s="252">
        <f t="shared" si="69"/>
        <v>0</v>
      </c>
      <c r="AV47" s="252">
        <f t="shared" si="69"/>
        <v>0</v>
      </c>
      <c r="AW47" s="252">
        <f t="shared" si="69"/>
        <v>0</v>
      </c>
      <c r="AX47" s="252">
        <f t="shared" si="69"/>
        <v>0</v>
      </c>
      <c r="AY47" s="252">
        <f t="shared" si="69"/>
        <v>0</v>
      </c>
      <c r="AZ47" s="252">
        <f t="shared" si="69"/>
        <v>0</v>
      </c>
      <c r="BA47" s="252">
        <f t="shared" si="69"/>
        <v>0</v>
      </c>
      <c r="BB47" s="252">
        <f t="shared" si="69"/>
        <v>0</v>
      </c>
      <c r="BC47" s="252">
        <f t="shared" si="69"/>
        <v>0</v>
      </c>
      <c r="BD47" s="252">
        <f t="shared" si="69"/>
        <v>0</v>
      </c>
      <c r="BE47" s="252">
        <f t="shared" si="69"/>
        <v>0</v>
      </c>
      <c r="BF47" s="252">
        <f t="shared" si="69"/>
        <v>0</v>
      </c>
      <c r="BG47" s="252">
        <f t="shared" si="69"/>
        <v>0</v>
      </c>
      <c r="BH47" s="252">
        <f t="shared" si="69"/>
        <v>0</v>
      </c>
      <c r="BI47" s="252">
        <f t="shared" si="69"/>
        <v>0</v>
      </c>
      <c r="BJ47" s="252">
        <f t="shared" si="69"/>
        <v>0</v>
      </c>
      <c r="BK47" s="252">
        <f t="shared" si="69"/>
        <v>0</v>
      </c>
      <c r="BL47" s="252">
        <f t="shared" si="69"/>
        <v>0</v>
      </c>
      <c r="BM47" s="252">
        <f t="shared" si="69"/>
        <v>0</v>
      </c>
      <c r="BN47" s="252">
        <f t="shared" si="69"/>
        <v>0</v>
      </c>
      <c r="BO47" s="252">
        <f t="shared" si="69"/>
        <v>0</v>
      </c>
      <c r="BP47" s="252">
        <f t="shared" si="69"/>
        <v>0</v>
      </c>
      <c r="BQ47" s="252">
        <f t="shared" si="69"/>
        <v>0</v>
      </c>
      <c r="BR47" s="252">
        <f t="shared" si="69"/>
        <v>0</v>
      </c>
      <c r="BS47" s="252">
        <f t="shared" si="69"/>
        <v>0</v>
      </c>
      <c r="BT47" s="252">
        <f t="shared" si="69"/>
        <v>0</v>
      </c>
      <c r="BU47" s="252">
        <f t="shared" si="69"/>
        <v>0</v>
      </c>
      <c r="BV47" s="252">
        <f t="shared" si="69"/>
        <v>0</v>
      </c>
      <c r="BW47" s="252">
        <f t="shared" si="69"/>
        <v>0</v>
      </c>
      <c r="BX47" s="252">
        <f t="shared" si="69"/>
        <v>0</v>
      </c>
      <c r="BY47" s="252">
        <f t="shared" si="69"/>
        <v>0</v>
      </c>
      <c r="BZ47" s="252">
        <f t="shared" si="69"/>
        <v>0</v>
      </c>
      <c r="CA47" s="252">
        <f t="shared" si="69"/>
        <v>0</v>
      </c>
      <c r="CB47" s="252">
        <f t="shared" si="69"/>
        <v>0</v>
      </c>
      <c r="CC47" s="252">
        <f t="shared" si="69"/>
        <v>0</v>
      </c>
      <c r="CD47" s="252">
        <f t="shared" si="69"/>
        <v>0</v>
      </c>
      <c r="CE47" s="252">
        <f t="shared" si="69"/>
        <v>0</v>
      </c>
      <c r="CF47" s="252">
        <f t="shared" si="69"/>
        <v>0</v>
      </c>
      <c r="CG47" s="252">
        <f t="shared" si="69"/>
        <v>0</v>
      </c>
      <c r="CH47" s="252">
        <f t="shared" si="69"/>
        <v>0</v>
      </c>
      <c r="CI47" s="252">
        <f t="shared" si="69"/>
        <v>0</v>
      </c>
      <c r="CJ47" s="252">
        <f t="shared" si="69"/>
        <v>0</v>
      </c>
      <c r="CK47" s="252">
        <f t="shared" si="69"/>
        <v>0</v>
      </c>
      <c r="CL47" s="252">
        <f t="shared" ref="CL47:DC47" si="70">IF(CL19=0,0,CL46/CL19)</f>
        <v>0</v>
      </c>
      <c r="CM47" s="252">
        <f t="shared" si="70"/>
        <v>0</v>
      </c>
      <c r="CN47" s="252">
        <f t="shared" si="70"/>
        <v>0</v>
      </c>
      <c r="CO47" s="252">
        <f t="shared" si="70"/>
        <v>0</v>
      </c>
      <c r="CP47" s="252">
        <f t="shared" si="70"/>
        <v>0</v>
      </c>
      <c r="CQ47" s="252">
        <f t="shared" si="70"/>
        <v>0</v>
      </c>
      <c r="CR47" s="252">
        <f t="shared" si="70"/>
        <v>0</v>
      </c>
      <c r="CS47" s="252">
        <f t="shared" si="70"/>
        <v>0</v>
      </c>
      <c r="CT47" s="252">
        <f t="shared" si="70"/>
        <v>0</v>
      </c>
      <c r="CU47" s="252">
        <f t="shared" si="70"/>
        <v>0</v>
      </c>
      <c r="CV47" s="252">
        <f t="shared" si="70"/>
        <v>0</v>
      </c>
      <c r="CW47" s="252">
        <f t="shared" si="70"/>
        <v>0</v>
      </c>
      <c r="CX47" s="252">
        <f t="shared" si="70"/>
        <v>0</v>
      </c>
      <c r="CY47" s="252">
        <f t="shared" si="70"/>
        <v>0</v>
      </c>
      <c r="CZ47" s="252">
        <f t="shared" si="70"/>
        <v>0</v>
      </c>
      <c r="DA47" s="252">
        <f t="shared" si="70"/>
        <v>0</v>
      </c>
      <c r="DB47" s="252">
        <f t="shared" si="70"/>
        <v>0</v>
      </c>
      <c r="DC47" s="252">
        <f t="shared" si="70"/>
        <v>0</v>
      </c>
    </row>
    <row r="48" spans="2:107" ht="15" customHeight="1" x14ac:dyDescent="0.25">
      <c r="B48" s="253"/>
      <c r="C48" s="254" t="s">
        <v>4969</v>
      </c>
      <c r="D48" s="254"/>
      <c r="E48" s="542" t="s">
        <v>3911</v>
      </c>
      <c r="F48" s="255" t="s">
        <v>4970</v>
      </c>
      <c r="G48" s="256">
        <f>SUM(H48:DC48)</f>
        <v>0</v>
      </c>
      <c r="H48" s="257">
        <f>H44*$D$45+H46*$D$47</f>
        <v>0</v>
      </c>
      <c r="I48" s="257">
        <f t="shared" ref="I48:Y48" si="71">I44*$D$45+I46*$D$47</f>
        <v>0</v>
      </c>
      <c r="J48" s="257">
        <f t="shared" si="71"/>
        <v>0</v>
      </c>
      <c r="K48" s="257">
        <f t="shared" si="71"/>
        <v>0</v>
      </c>
      <c r="L48" s="257">
        <f t="shared" si="71"/>
        <v>0</v>
      </c>
      <c r="M48" s="257">
        <f t="shared" si="71"/>
        <v>0</v>
      </c>
      <c r="N48" s="257">
        <f t="shared" si="71"/>
        <v>0</v>
      </c>
      <c r="O48" s="257">
        <f t="shared" si="71"/>
        <v>0</v>
      </c>
      <c r="P48" s="257">
        <f t="shared" si="71"/>
        <v>0</v>
      </c>
      <c r="Q48" s="257">
        <f t="shared" si="71"/>
        <v>0</v>
      </c>
      <c r="R48" s="257">
        <f t="shared" si="71"/>
        <v>0</v>
      </c>
      <c r="S48" s="257">
        <f t="shared" si="71"/>
        <v>0</v>
      </c>
      <c r="T48" s="257">
        <f t="shared" si="71"/>
        <v>0</v>
      </c>
      <c r="U48" s="257">
        <f t="shared" si="71"/>
        <v>0</v>
      </c>
      <c r="V48" s="257">
        <f t="shared" si="71"/>
        <v>0</v>
      </c>
      <c r="W48" s="257">
        <f t="shared" si="71"/>
        <v>0</v>
      </c>
      <c r="X48" s="257">
        <f t="shared" si="71"/>
        <v>0</v>
      </c>
      <c r="Y48" s="257">
        <f t="shared" si="71"/>
        <v>0</v>
      </c>
      <c r="Z48" s="257">
        <f t="shared" ref="Z48:CK48" si="72">Z44*$D$45+Z46*$D$47</f>
        <v>0</v>
      </c>
      <c r="AA48" s="257">
        <f t="shared" si="72"/>
        <v>0</v>
      </c>
      <c r="AB48" s="257">
        <f t="shared" si="72"/>
        <v>0</v>
      </c>
      <c r="AC48" s="257">
        <f t="shared" si="72"/>
        <v>0</v>
      </c>
      <c r="AD48" s="257">
        <f t="shared" si="72"/>
        <v>0</v>
      </c>
      <c r="AE48" s="257">
        <f t="shared" si="72"/>
        <v>0</v>
      </c>
      <c r="AF48" s="257">
        <f t="shared" si="72"/>
        <v>0</v>
      </c>
      <c r="AG48" s="257">
        <f t="shared" si="72"/>
        <v>0</v>
      </c>
      <c r="AH48" s="257">
        <f t="shared" si="72"/>
        <v>0</v>
      </c>
      <c r="AI48" s="257">
        <f t="shared" si="72"/>
        <v>0</v>
      </c>
      <c r="AJ48" s="257">
        <f t="shared" si="72"/>
        <v>0</v>
      </c>
      <c r="AK48" s="257">
        <f t="shared" si="72"/>
        <v>0</v>
      </c>
      <c r="AL48" s="257">
        <f t="shared" si="72"/>
        <v>0</v>
      </c>
      <c r="AM48" s="257">
        <f t="shared" si="72"/>
        <v>0</v>
      </c>
      <c r="AN48" s="257">
        <f t="shared" si="72"/>
        <v>0</v>
      </c>
      <c r="AO48" s="257">
        <f t="shared" si="72"/>
        <v>0</v>
      </c>
      <c r="AP48" s="257">
        <f t="shared" si="72"/>
        <v>0</v>
      </c>
      <c r="AQ48" s="257">
        <f t="shared" si="72"/>
        <v>0</v>
      </c>
      <c r="AR48" s="257">
        <f t="shared" si="72"/>
        <v>0</v>
      </c>
      <c r="AS48" s="257">
        <f t="shared" si="72"/>
        <v>0</v>
      </c>
      <c r="AT48" s="257">
        <f t="shared" si="72"/>
        <v>0</v>
      </c>
      <c r="AU48" s="257">
        <f t="shared" si="72"/>
        <v>0</v>
      </c>
      <c r="AV48" s="257">
        <f t="shared" si="72"/>
        <v>0</v>
      </c>
      <c r="AW48" s="257">
        <f t="shared" si="72"/>
        <v>0</v>
      </c>
      <c r="AX48" s="257">
        <f t="shared" si="72"/>
        <v>0</v>
      </c>
      <c r="AY48" s="257">
        <f t="shared" si="72"/>
        <v>0</v>
      </c>
      <c r="AZ48" s="257">
        <f t="shared" si="72"/>
        <v>0</v>
      </c>
      <c r="BA48" s="257">
        <f t="shared" si="72"/>
        <v>0</v>
      </c>
      <c r="BB48" s="257">
        <f t="shared" si="72"/>
        <v>0</v>
      </c>
      <c r="BC48" s="257">
        <f t="shared" si="72"/>
        <v>0</v>
      </c>
      <c r="BD48" s="257">
        <f t="shared" si="72"/>
        <v>0</v>
      </c>
      <c r="BE48" s="257">
        <f t="shared" si="72"/>
        <v>0</v>
      </c>
      <c r="BF48" s="257">
        <f t="shared" si="72"/>
        <v>0</v>
      </c>
      <c r="BG48" s="257">
        <f t="shared" si="72"/>
        <v>0</v>
      </c>
      <c r="BH48" s="257">
        <f t="shared" si="72"/>
        <v>0</v>
      </c>
      <c r="BI48" s="257">
        <f t="shared" si="72"/>
        <v>0</v>
      </c>
      <c r="BJ48" s="257">
        <f t="shared" si="72"/>
        <v>0</v>
      </c>
      <c r="BK48" s="257">
        <f t="shared" si="72"/>
        <v>0</v>
      </c>
      <c r="BL48" s="257">
        <f t="shared" si="72"/>
        <v>0</v>
      </c>
      <c r="BM48" s="257">
        <f t="shared" si="72"/>
        <v>0</v>
      </c>
      <c r="BN48" s="257">
        <f t="shared" si="72"/>
        <v>0</v>
      </c>
      <c r="BO48" s="257">
        <f t="shared" si="72"/>
        <v>0</v>
      </c>
      <c r="BP48" s="257">
        <f t="shared" si="72"/>
        <v>0</v>
      </c>
      <c r="BQ48" s="257">
        <f t="shared" si="72"/>
        <v>0</v>
      </c>
      <c r="BR48" s="257">
        <f t="shared" si="72"/>
        <v>0</v>
      </c>
      <c r="BS48" s="257">
        <f t="shared" si="72"/>
        <v>0</v>
      </c>
      <c r="BT48" s="257">
        <f t="shared" si="72"/>
        <v>0</v>
      </c>
      <c r="BU48" s="257">
        <f t="shared" si="72"/>
        <v>0</v>
      </c>
      <c r="BV48" s="257">
        <f t="shared" si="72"/>
        <v>0</v>
      </c>
      <c r="BW48" s="257">
        <f t="shared" si="72"/>
        <v>0</v>
      </c>
      <c r="BX48" s="257">
        <f t="shared" si="72"/>
        <v>0</v>
      </c>
      <c r="BY48" s="257">
        <f t="shared" si="72"/>
        <v>0</v>
      </c>
      <c r="BZ48" s="257">
        <f t="shared" si="72"/>
        <v>0</v>
      </c>
      <c r="CA48" s="257">
        <f t="shared" si="72"/>
        <v>0</v>
      </c>
      <c r="CB48" s="257">
        <f t="shared" si="72"/>
        <v>0</v>
      </c>
      <c r="CC48" s="257">
        <f t="shared" si="72"/>
        <v>0</v>
      </c>
      <c r="CD48" s="257">
        <f t="shared" si="72"/>
        <v>0</v>
      </c>
      <c r="CE48" s="257">
        <f t="shared" si="72"/>
        <v>0</v>
      </c>
      <c r="CF48" s="257">
        <f t="shared" si="72"/>
        <v>0</v>
      </c>
      <c r="CG48" s="257">
        <f t="shared" si="72"/>
        <v>0</v>
      </c>
      <c r="CH48" s="257">
        <f t="shared" si="72"/>
        <v>0</v>
      </c>
      <c r="CI48" s="257">
        <f t="shared" si="72"/>
        <v>0</v>
      </c>
      <c r="CJ48" s="257">
        <f t="shared" si="72"/>
        <v>0</v>
      </c>
      <c r="CK48" s="257">
        <f t="shared" si="72"/>
        <v>0</v>
      </c>
      <c r="CL48" s="257">
        <f t="shared" ref="CL48:DC48" si="73">CL44*$D$45+CL46*$D$47</f>
        <v>0</v>
      </c>
      <c r="CM48" s="257">
        <f t="shared" si="73"/>
        <v>0</v>
      </c>
      <c r="CN48" s="257">
        <f t="shared" si="73"/>
        <v>0</v>
      </c>
      <c r="CO48" s="257">
        <f t="shared" si="73"/>
        <v>0</v>
      </c>
      <c r="CP48" s="257">
        <f t="shared" si="73"/>
        <v>0</v>
      </c>
      <c r="CQ48" s="257">
        <f t="shared" si="73"/>
        <v>0</v>
      </c>
      <c r="CR48" s="257">
        <f t="shared" si="73"/>
        <v>0</v>
      </c>
      <c r="CS48" s="257">
        <f t="shared" si="73"/>
        <v>0</v>
      </c>
      <c r="CT48" s="257">
        <f t="shared" si="73"/>
        <v>0</v>
      </c>
      <c r="CU48" s="257">
        <f t="shared" si="73"/>
        <v>0</v>
      </c>
      <c r="CV48" s="257">
        <f t="shared" si="73"/>
        <v>0</v>
      </c>
      <c r="CW48" s="257">
        <f t="shared" si="73"/>
        <v>0</v>
      </c>
      <c r="CX48" s="257">
        <f t="shared" si="73"/>
        <v>0</v>
      </c>
      <c r="CY48" s="257">
        <f t="shared" si="73"/>
        <v>0</v>
      </c>
      <c r="CZ48" s="257">
        <f t="shared" si="73"/>
        <v>0</v>
      </c>
      <c r="DA48" s="257">
        <f t="shared" si="73"/>
        <v>0</v>
      </c>
      <c r="DB48" s="257">
        <f t="shared" si="73"/>
        <v>0</v>
      </c>
      <c r="DC48" s="257">
        <f t="shared" si="73"/>
        <v>0</v>
      </c>
    </row>
    <row r="49" spans="2:107" ht="15" customHeight="1" x14ac:dyDescent="0.25">
      <c r="B49" s="253"/>
      <c r="C49" s="254" t="s">
        <v>4971</v>
      </c>
      <c r="D49" s="254"/>
      <c r="E49" s="542" t="s">
        <v>3911</v>
      </c>
      <c r="F49" s="255" t="s">
        <v>4972</v>
      </c>
      <c r="G49" s="256">
        <f>G46*D47</f>
        <v>0</v>
      </c>
      <c r="H49" s="257">
        <f>H46*$D$47</f>
        <v>0</v>
      </c>
      <c r="I49" s="257">
        <f t="shared" ref="I49:Y49" si="74">I46*$D$47</f>
        <v>0</v>
      </c>
      <c r="J49" s="257">
        <f t="shared" si="74"/>
        <v>0</v>
      </c>
      <c r="K49" s="257">
        <f t="shared" si="74"/>
        <v>0</v>
      </c>
      <c r="L49" s="257">
        <f t="shared" si="74"/>
        <v>0</v>
      </c>
      <c r="M49" s="257">
        <f t="shared" si="74"/>
        <v>0</v>
      </c>
      <c r="N49" s="257">
        <f t="shared" si="74"/>
        <v>0</v>
      </c>
      <c r="O49" s="257">
        <f t="shared" si="74"/>
        <v>0</v>
      </c>
      <c r="P49" s="257">
        <f t="shared" si="74"/>
        <v>0</v>
      </c>
      <c r="Q49" s="257">
        <f t="shared" si="74"/>
        <v>0</v>
      </c>
      <c r="R49" s="257">
        <f t="shared" si="74"/>
        <v>0</v>
      </c>
      <c r="S49" s="257">
        <f t="shared" si="74"/>
        <v>0</v>
      </c>
      <c r="T49" s="257">
        <f t="shared" si="74"/>
        <v>0</v>
      </c>
      <c r="U49" s="257">
        <f t="shared" si="74"/>
        <v>0</v>
      </c>
      <c r="V49" s="257">
        <f t="shared" si="74"/>
        <v>0</v>
      </c>
      <c r="W49" s="257">
        <f t="shared" si="74"/>
        <v>0</v>
      </c>
      <c r="X49" s="257">
        <f t="shared" si="74"/>
        <v>0</v>
      </c>
      <c r="Y49" s="257">
        <f t="shared" si="74"/>
        <v>0</v>
      </c>
      <c r="Z49" s="257">
        <f t="shared" ref="Z49:CK49" si="75">Z46*$D$47</f>
        <v>0</v>
      </c>
      <c r="AA49" s="257">
        <f t="shared" si="75"/>
        <v>0</v>
      </c>
      <c r="AB49" s="257">
        <f t="shared" si="75"/>
        <v>0</v>
      </c>
      <c r="AC49" s="257">
        <f t="shared" si="75"/>
        <v>0</v>
      </c>
      <c r="AD49" s="257">
        <f t="shared" si="75"/>
        <v>0</v>
      </c>
      <c r="AE49" s="257">
        <f t="shared" si="75"/>
        <v>0</v>
      </c>
      <c r="AF49" s="257">
        <f t="shared" si="75"/>
        <v>0</v>
      </c>
      <c r="AG49" s="257">
        <f t="shared" si="75"/>
        <v>0</v>
      </c>
      <c r="AH49" s="257">
        <f t="shared" si="75"/>
        <v>0</v>
      </c>
      <c r="AI49" s="257">
        <f t="shared" si="75"/>
        <v>0</v>
      </c>
      <c r="AJ49" s="257">
        <f t="shared" si="75"/>
        <v>0</v>
      </c>
      <c r="AK49" s="257">
        <f t="shared" si="75"/>
        <v>0</v>
      </c>
      <c r="AL49" s="257">
        <f t="shared" si="75"/>
        <v>0</v>
      </c>
      <c r="AM49" s="257">
        <f t="shared" si="75"/>
        <v>0</v>
      </c>
      <c r="AN49" s="257">
        <f t="shared" si="75"/>
        <v>0</v>
      </c>
      <c r="AO49" s="257">
        <f t="shared" si="75"/>
        <v>0</v>
      </c>
      <c r="AP49" s="257">
        <f t="shared" si="75"/>
        <v>0</v>
      </c>
      <c r="AQ49" s="257">
        <f t="shared" si="75"/>
        <v>0</v>
      </c>
      <c r="AR49" s="257">
        <f t="shared" si="75"/>
        <v>0</v>
      </c>
      <c r="AS49" s="257">
        <f t="shared" si="75"/>
        <v>0</v>
      </c>
      <c r="AT49" s="257">
        <f t="shared" si="75"/>
        <v>0</v>
      </c>
      <c r="AU49" s="257">
        <f t="shared" si="75"/>
        <v>0</v>
      </c>
      <c r="AV49" s="257">
        <f t="shared" si="75"/>
        <v>0</v>
      </c>
      <c r="AW49" s="257">
        <f t="shared" si="75"/>
        <v>0</v>
      </c>
      <c r="AX49" s="257">
        <f t="shared" si="75"/>
        <v>0</v>
      </c>
      <c r="AY49" s="257">
        <f t="shared" si="75"/>
        <v>0</v>
      </c>
      <c r="AZ49" s="257">
        <f t="shared" si="75"/>
        <v>0</v>
      </c>
      <c r="BA49" s="257">
        <f t="shared" si="75"/>
        <v>0</v>
      </c>
      <c r="BB49" s="257">
        <f t="shared" si="75"/>
        <v>0</v>
      </c>
      <c r="BC49" s="257">
        <f t="shared" si="75"/>
        <v>0</v>
      </c>
      <c r="BD49" s="257">
        <f t="shared" si="75"/>
        <v>0</v>
      </c>
      <c r="BE49" s="257">
        <f t="shared" si="75"/>
        <v>0</v>
      </c>
      <c r="BF49" s="257">
        <f t="shared" si="75"/>
        <v>0</v>
      </c>
      <c r="BG49" s="257">
        <f t="shared" si="75"/>
        <v>0</v>
      </c>
      <c r="BH49" s="257">
        <f t="shared" si="75"/>
        <v>0</v>
      </c>
      <c r="BI49" s="257">
        <f t="shared" si="75"/>
        <v>0</v>
      </c>
      <c r="BJ49" s="257">
        <f t="shared" si="75"/>
        <v>0</v>
      </c>
      <c r="BK49" s="257">
        <f t="shared" si="75"/>
        <v>0</v>
      </c>
      <c r="BL49" s="257">
        <f t="shared" si="75"/>
        <v>0</v>
      </c>
      <c r="BM49" s="257">
        <f t="shared" si="75"/>
        <v>0</v>
      </c>
      <c r="BN49" s="257">
        <f t="shared" si="75"/>
        <v>0</v>
      </c>
      <c r="BO49" s="257">
        <f t="shared" si="75"/>
        <v>0</v>
      </c>
      <c r="BP49" s="257">
        <f t="shared" si="75"/>
        <v>0</v>
      </c>
      <c r="BQ49" s="257">
        <f t="shared" si="75"/>
        <v>0</v>
      </c>
      <c r="BR49" s="257">
        <f t="shared" si="75"/>
        <v>0</v>
      </c>
      <c r="BS49" s="257">
        <f t="shared" si="75"/>
        <v>0</v>
      </c>
      <c r="BT49" s="257">
        <f t="shared" si="75"/>
        <v>0</v>
      </c>
      <c r="BU49" s="257">
        <f t="shared" si="75"/>
        <v>0</v>
      </c>
      <c r="BV49" s="257">
        <f t="shared" si="75"/>
        <v>0</v>
      </c>
      <c r="BW49" s="257">
        <f t="shared" si="75"/>
        <v>0</v>
      </c>
      <c r="BX49" s="257">
        <f t="shared" si="75"/>
        <v>0</v>
      </c>
      <c r="BY49" s="257">
        <f t="shared" si="75"/>
        <v>0</v>
      </c>
      <c r="BZ49" s="257">
        <f t="shared" si="75"/>
        <v>0</v>
      </c>
      <c r="CA49" s="257">
        <f t="shared" si="75"/>
        <v>0</v>
      </c>
      <c r="CB49" s="257">
        <f t="shared" si="75"/>
        <v>0</v>
      </c>
      <c r="CC49" s="257">
        <f t="shared" si="75"/>
        <v>0</v>
      </c>
      <c r="CD49" s="257">
        <f t="shared" si="75"/>
        <v>0</v>
      </c>
      <c r="CE49" s="257">
        <f t="shared" si="75"/>
        <v>0</v>
      </c>
      <c r="CF49" s="257">
        <f t="shared" si="75"/>
        <v>0</v>
      </c>
      <c r="CG49" s="257">
        <f t="shared" si="75"/>
        <v>0</v>
      </c>
      <c r="CH49" s="257">
        <f t="shared" si="75"/>
        <v>0</v>
      </c>
      <c r="CI49" s="257">
        <f t="shared" si="75"/>
        <v>0</v>
      </c>
      <c r="CJ49" s="257">
        <f t="shared" si="75"/>
        <v>0</v>
      </c>
      <c r="CK49" s="257">
        <f t="shared" si="75"/>
        <v>0</v>
      </c>
      <c r="CL49" s="257">
        <f t="shared" ref="CL49:DC49" si="76">CL46*$D$47</f>
        <v>0</v>
      </c>
      <c r="CM49" s="257">
        <f t="shared" si="76"/>
        <v>0</v>
      </c>
      <c r="CN49" s="257">
        <f t="shared" si="76"/>
        <v>0</v>
      </c>
      <c r="CO49" s="257">
        <f t="shared" si="76"/>
        <v>0</v>
      </c>
      <c r="CP49" s="257">
        <f t="shared" si="76"/>
        <v>0</v>
      </c>
      <c r="CQ49" s="257">
        <f t="shared" si="76"/>
        <v>0</v>
      </c>
      <c r="CR49" s="257">
        <f t="shared" si="76"/>
        <v>0</v>
      </c>
      <c r="CS49" s="257">
        <f t="shared" si="76"/>
        <v>0</v>
      </c>
      <c r="CT49" s="257">
        <f t="shared" si="76"/>
        <v>0</v>
      </c>
      <c r="CU49" s="257">
        <f t="shared" si="76"/>
        <v>0</v>
      </c>
      <c r="CV49" s="257">
        <f t="shared" si="76"/>
        <v>0</v>
      </c>
      <c r="CW49" s="257">
        <f t="shared" si="76"/>
        <v>0</v>
      </c>
      <c r="CX49" s="257">
        <f t="shared" si="76"/>
        <v>0</v>
      </c>
      <c r="CY49" s="257">
        <f t="shared" si="76"/>
        <v>0</v>
      </c>
      <c r="CZ49" s="257">
        <f t="shared" si="76"/>
        <v>0</v>
      </c>
      <c r="DA49" s="257">
        <f t="shared" si="76"/>
        <v>0</v>
      </c>
      <c r="DB49" s="257">
        <f t="shared" si="76"/>
        <v>0</v>
      </c>
      <c r="DC49" s="257">
        <f t="shared" si="76"/>
        <v>0</v>
      </c>
    </row>
    <row r="50" spans="2:107" ht="15" customHeight="1" x14ac:dyDescent="0.25">
      <c r="B50" s="253"/>
      <c r="C50" s="254" t="s">
        <v>4973</v>
      </c>
      <c r="D50" s="254"/>
      <c r="E50" s="542" t="s">
        <v>3911</v>
      </c>
      <c r="F50" s="255" t="s">
        <v>4974</v>
      </c>
      <c r="G50" s="256">
        <f>G44*D45</f>
        <v>0</v>
      </c>
      <c r="H50" s="257">
        <f>H44*$D$45</f>
        <v>0</v>
      </c>
      <c r="I50" s="257">
        <f t="shared" ref="I50:Y50" si="77">I44*$D$45</f>
        <v>0</v>
      </c>
      <c r="J50" s="257">
        <f t="shared" si="77"/>
        <v>0</v>
      </c>
      <c r="K50" s="257">
        <f t="shared" si="77"/>
        <v>0</v>
      </c>
      <c r="L50" s="257">
        <f t="shared" si="77"/>
        <v>0</v>
      </c>
      <c r="M50" s="257">
        <f t="shared" si="77"/>
        <v>0</v>
      </c>
      <c r="N50" s="257">
        <f t="shared" si="77"/>
        <v>0</v>
      </c>
      <c r="O50" s="257">
        <f t="shared" si="77"/>
        <v>0</v>
      </c>
      <c r="P50" s="257">
        <f t="shared" si="77"/>
        <v>0</v>
      </c>
      <c r="Q50" s="257">
        <f t="shared" si="77"/>
        <v>0</v>
      </c>
      <c r="R50" s="257">
        <f t="shared" si="77"/>
        <v>0</v>
      </c>
      <c r="S50" s="257">
        <f t="shared" si="77"/>
        <v>0</v>
      </c>
      <c r="T50" s="257">
        <f t="shared" si="77"/>
        <v>0</v>
      </c>
      <c r="U50" s="257">
        <f t="shared" si="77"/>
        <v>0</v>
      </c>
      <c r="V50" s="257">
        <f t="shared" si="77"/>
        <v>0</v>
      </c>
      <c r="W50" s="257">
        <f t="shared" si="77"/>
        <v>0</v>
      </c>
      <c r="X50" s="257">
        <f t="shared" si="77"/>
        <v>0</v>
      </c>
      <c r="Y50" s="257">
        <f t="shared" si="77"/>
        <v>0</v>
      </c>
      <c r="Z50" s="257">
        <f t="shared" ref="Z50:CK50" si="78">Z44*$D$45</f>
        <v>0</v>
      </c>
      <c r="AA50" s="257">
        <f t="shared" si="78"/>
        <v>0</v>
      </c>
      <c r="AB50" s="257">
        <f t="shared" si="78"/>
        <v>0</v>
      </c>
      <c r="AC50" s="257">
        <f t="shared" si="78"/>
        <v>0</v>
      </c>
      <c r="AD50" s="257">
        <f t="shared" si="78"/>
        <v>0</v>
      </c>
      <c r="AE50" s="257">
        <f t="shared" si="78"/>
        <v>0</v>
      </c>
      <c r="AF50" s="257">
        <f t="shared" si="78"/>
        <v>0</v>
      </c>
      <c r="AG50" s="257">
        <f t="shared" si="78"/>
        <v>0</v>
      </c>
      <c r="AH50" s="257">
        <f t="shared" si="78"/>
        <v>0</v>
      </c>
      <c r="AI50" s="257">
        <f t="shared" si="78"/>
        <v>0</v>
      </c>
      <c r="AJ50" s="257">
        <f t="shared" si="78"/>
        <v>0</v>
      </c>
      <c r="AK50" s="257">
        <f t="shared" si="78"/>
        <v>0</v>
      </c>
      <c r="AL50" s="257">
        <f t="shared" si="78"/>
        <v>0</v>
      </c>
      <c r="AM50" s="257">
        <f t="shared" si="78"/>
        <v>0</v>
      </c>
      <c r="AN50" s="257">
        <f t="shared" si="78"/>
        <v>0</v>
      </c>
      <c r="AO50" s="257">
        <f t="shared" si="78"/>
        <v>0</v>
      </c>
      <c r="AP50" s="257">
        <f t="shared" si="78"/>
        <v>0</v>
      </c>
      <c r="AQ50" s="257">
        <f t="shared" si="78"/>
        <v>0</v>
      </c>
      <c r="AR50" s="257">
        <f t="shared" si="78"/>
        <v>0</v>
      </c>
      <c r="AS50" s="257">
        <f t="shared" si="78"/>
        <v>0</v>
      </c>
      <c r="AT50" s="257">
        <f t="shared" si="78"/>
        <v>0</v>
      </c>
      <c r="AU50" s="257">
        <f t="shared" si="78"/>
        <v>0</v>
      </c>
      <c r="AV50" s="257">
        <f t="shared" si="78"/>
        <v>0</v>
      </c>
      <c r="AW50" s="257">
        <f t="shared" si="78"/>
        <v>0</v>
      </c>
      <c r="AX50" s="257">
        <f t="shared" si="78"/>
        <v>0</v>
      </c>
      <c r="AY50" s="257">
        <f t="shared" si="78"/>
        <v>0</v>
      </c>
      <c r="AZ50" s="257">
        <f t="shared" si="78"/>
        <v>0</v>
      </c>
      <c r="BA50" s="257">
        <f t="shared" si="78"/>
        <v>0</v>
      </c>
      <c r="BB50" s="257">
        <f t="shared" si="78"/>
        <v>0</v>
      </c>
      <c r="BC50" s="257">
        <f t="shared" si="78"/>
        <v>0</v>
      </c>
      <c r="BD50" s="257">
        <f t="shared" si="78"/>
        <v>0</v>
      </c>
      <c r="BE50" s="257">
        <f t="shared" si="78"/>
        <v>0</v>
      </c>
      <c r="BF50" s="257">
        <f t="shared" si="78"/>
        <v>0</v>
      </c>
      <c r="BG50" s="257">
        <f t="shared" si="78"/>
        <v>0</v>
      </c>
      <c r="BH50" s="257">
        <f t="shared" si="78"/>
        <v>0</v>
      </c>
      <c r="BI50" s="257">
        <f t="shared" si="78"/>
        <v>0</v>
      </c>
      <c r="BJ50" s="257">
        <f t="shared" si="78"/>
        <v>0</v>
      </c>
      <c r="BK50" s="257">
        <f t="shared" si="78"/>
        <v>0</v>
      </c>
      <c r="BL50" s="257">
        <f t="shared" si="78"/>
        <v>0</v>
      </c>
      <c r="BM50" s="257">
        <f t="shared" si="78"/>
        <v>0</v>
      </c>
      <c r="BN50" s="257">
        <f t="shared" si="78"/>
        <v>0</v>
      </c>
      <c r="BO50" s="257">
        <f t="shared" si="78"/>
        <v>0</v>
      </c>
      <c r="BP50" s="257">
        <f t="shared" si="78"/>
        <v>0</v>
      </c>
      <c r="BQ50" s="257">
        <f t="shared" si="78"/>
        <v>0</v>
      </c>
      <c r="BR50" s="257">
        <f t="shared" si="78"/>
        <v>0</v>
      </c>
      <c r="BS50" s="257">
        <f t="shared" si="78"/>
        <v>0</v>
      </c>
      <c r="BT50" s="257">
        <f t="shared" si="78"/>
        <v>0</v>
      </c>
      <c r="BU50" s="257">
        <f t="shared" si="78"/>
        <v>0</v>
      </c>
      <c r="BV50" s="257">
        <f t="shared" si="78"/>
        <v>0</v>
      </c>
      <c r="BW50" s="257">
        <f t="shared" si="78"/>
        <v>0</v>
      </c>
      <c r="BX50" s="257">
        <f t="shared" si="78"/>
        <v>0</v>
      </c>
      <c r="BY50" s="257">
        <f t="shared" si="78"/>
        <v>0</v>
      </c>
      <c r="BZ50" s="257">
        <f t="shared" si="78"/>
        <v>0</v>
      </c>
      <c r="CA50" s="257">
        <f t="shared" si="78"/>
        <v>0</v>
      </c>
      <c r="CB50" s="257">
        <f t="shared" si="78"/>
        <v>0</v>
      </c>
      <c r="CC50" s="257">
        <f t="shared" si="78"/>
        <v>0</v>
      </c>
      <c r="CD50" s="257">
        <f t="shared" si="78"/>
        <v>0</v>
      </c>
      <c r="CE50" s="257">
        <f t="shared" si="78"/>
        <v>0</v>
      </c>
      <c r="CF50" s="257">
        <f t="shared" si="78"/>
        <v>0</v>
      </c>
      <c r="CG50" s="257">
        <f t="shared" si="78"/>
        <v>0</v>
      </c>
      <c r="CH50" s="257">
        <f t="shared" si="78"/>
        <v>0</v>
      </c>
      <c r="CI50" s="257">
        <f t="shared" si="78"/>
        <v>0</v>
      </c>
      <c r="CJ50" s="257">
        <f t="shared" si="78"/>
        <v>0</v>
      </c>
      <c r="CK50" s="257">
        <f t="shared" si="78"/>
        <v>0</v>
      </c>
      <c r="CL50" s="257">
        <f t="shared" ref="CL50:DC50" si="79">CL44*$D$45</f>
        <v>0</v>
      </c>
      <c r="CM50" s="257">
        <f t="shared" si="79"/>
        <v>0</v>
      </c>
      <c r="CN50" s="257">
        <f t="shared" si="79"/>
        <v>0</v>
      </c>
      <c r="CO50" s="257">
        <f t="shared" si="79"/>
        <v>0</v>
      </c>
      <c r="CP50" s="257">
        <f t="shared" si="79"/>
        <v>0</v>
      </c>
      <c r="CQ50" s="257">
        <f t="shared" si="79"/>
        <v>0</v>
      </c>
      <c r="CR50" s="257">
        <f t="shared" si="79"/>
        <v>0</v>
      </c>
      <c r="CS50" s="257">
        <f t="shared" si="79"/>
        <v>0</v>
      </c>
      <c r="CT50" s="257">
        <f t="shared" si="79"/>
        <v>0</v>
      </c>
      <c r="CU50" s="257">
        <f t="shared" si="79"/>
        <v>0</v>
      </c>
      <c r="CV50" s="257">
        <f t="shared" si="79"/>
        <v>0</v>
      </c>
      <c r="CW50" s="257">
        <f t="shared" si="79"/>
        <v>0</v>
      </c>
      <c r="CX50" s="257">
        <f t="shared" si="79"/>
        <v>0</v>
      </c>
      <c r="CY50" s="257">
        <f t="shared" si="79"/>
        <v>0</v>
      </c>
      <c r="CZ50" s="257">
        <f t="shared" si="79"/>
        <v>0</v>
      </c>
      <c r="DA50" s="257">
        <f t="shared" si="79"/>
        <v>0</v>
      </c>
      <c r="DB50" s="257">
        <f t="shared" si="79"/>
        <v>0</v>
      </c>
      <c r="DC50" s="257">
        <f t="shared" si="79"/>
        <v>0</v>
      </c>
    </row>
    <row r="52" spans="2:107" ht="15" customHeight="1" x14ac:dyDescent="0.35">
      <c r="E52" s="189" t="s">
        <v>4855</v>
      </c>
      <c r="F52" s="190"/>
      <c r="G52" s="191">
        <f>RCB!$G$13</f>
        <v>0</v>
      </c>
      <c r="I52" s="189" t="s">
        <v>4856</v>
      </c>
      <c r="J52" s="190"/>
      <c r="K52" s="191">
        <f>RCB!$J$13</f>
        <v>0</v>
      </c>
    </row>
    <row r="53" spans="2:107" ht="15" customHeight="1" x14ac:dyDescent="0.35">
      <c r="E53" s="189" t="s">
        <v>4074</v>
      </c>
      <c r="F53" s="190"/>
      <c r="G53" s="191">
        <f>RCB!$H$7</f>
        <v>0</v>
      </c>
      <c r="I53" s="189" t="s">
        <v>4075</v>
      </c>
      <c r="J53" s="190"/>
      <c r="K53" s="191">
        <f>RCB!$K$7</f>
        <v>0</v>
      </c>
    </row>
    <row r="55" spans="2:107" ht="15" hidden="1" customHeight="1" x14ac:dyDescent="0.25">
      <c r="B55" s="858" t="s">
        <v>4975</v>
      </c>
      <c r="C55" s="859"/>
      <c r="D55" s="859"/>
      <c r="E55" s="859"/>
      <c r="F55" s="859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</row>
    <row r="56" spans="2:107" s="103" customFormat="1" ht="15" hidden="1" customHeight="1" x14ac:dyDescent="0.25">
      <c r="B56" s="259"/>
      <c r="C56" s="260"/>
      <c r="D56" s="260"/>
      <c r="E56" s="260"/>
      <c r="F56" s="261"/>
      <c r="G56" s="262" t="s">
        <v>76</v>
      </c>
      <c r="H56" s="263" t="s">
        <v>4866</v>
      </c>
      <c r="I56" s="263" t="s">
        <v>4867</v>
      </c>
      <c r="J56" s="263" t="s">
        <v>4868</v>
      </c>
      <c r="K56" s="263" t="s">
        <v>4869</v>
      </c>
      <c r="L56" s="263" t="s">
        <v>4870</v>
      </c>
      <c r="M56" s="263" t="s">
        <v>4871</v>
      </c>
      <c r="N56" s="263" t="s">
        <v>4872</v>
      </c>
      <c r="O56" s="263" t="s">
        <v>4873</v>
      </c>
      <c r="P56" s="263" t="s">
        <v>4874</v>
      </c>
      <c r="Q56" s="263" t="s">
        <v>4875</v>
      </c>
      <c r="R56" s="263" t="s">
        <v>4876</v>
      </c>
      <c r="S56" s="263" t="s">
        <v>4877</v>
      </c>
      <c r="T56" s="263" t="s">
        <v>4878</v>
      </c>
      <c r="U56" s="263" t="s">
        <v>4879</v>
      </c>
      <c r="V56" s="263" t="s">
        <v>4880</v>
      </c>
      <c r="W56" s="263" t="s">
        <v>4881</v>
      </c>
      <c r="X56" s="263" t="s">
        <v>4882</v>
      </c>
      <c r="Y56" s="263" t="s">
        <v>4883</v>
      </c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 t="s">
        <v>4884</v>
      </c>
      <c r="DC56" s="263" t="s">
        <v>4885</v>
      </c>
    </row>
    <row r="57" spans="2:107" ht="15" hidden="1" customHeight="1" x14ac:dyDescent="0.25">
      <c r="B57" s="259">
        <v>31</v>
      </c>
      <c r="C57" s="264" t="s">
        <v>4196</v>
      </c>
      <c r="D57" s="264"/>
      <c r="E57" s="265"/>
      <c r="F57" s="266"/>
      <c r="G57" s="267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V57" s="229"/>
      <c r="CW57" s="229"/>
      <c r="CX57" s="229"/>
      <c r="CY57" s="229"/>
      <c r="CZ57" s="229"/>
      <c r="DA57" s="229"/>
      <c r="DB57" s="229"/>
      <c r="DC57" s="229"/>
    </row>
    <row r="58" spans="2:107" ht="15" hidden="1" customHeight="1" x14ac:dyDescent="0.25">
      <c r="B58" s="259">
        <v>32</v>
      </c>
      <c r="C58" s="264" t="s">
        <v>4256</v>
      </c>
      <c r="D58" s="264"/>
      <c r="E58" s="265"/>
      <c r="F58" s="268" t="s">
        <v>4257</v>
      </c>
      <c r="G58" s="269">
        <f>SUM(H58:DC58)</f>
        <v>0</v>
      </c>
      <c r="H58" s="270"/>
      <c r="I58" s="270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</row>
    <row r="59" spans="2:107" ht="15" hidden="1" customHeight="1" x14ac:dyDescent="0.25">
      <c r="B59" s="902">
        <v>33</v>
      </c>
      <c r="C59" s="264" t="s">
        <v>4473</v>
      </c>
      <c r="D59" s="264"/>
      <c r="E59" s="265" t="s">
        <v>4199</v>
      </c>
      <c r="F59" s="268" t="s">
        <v>4474</v>
      </c>
      <c r="G59" s="271">
        <f>SUM(H59:DC59)</f>
        <v>0</v>
      </c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</row>
    <row r="60" spans="2:107" ht="15" hidden="1" customHeight="1" x14ac:dyDescent="0.25">
      <c r="B60" s="760"/>
      <c r="C60" s="264" t="s">
        <v>4331</v>
      </c>
      <c r="D60" s="264"/>
      <c r="E60" s="265" t="s">
        <v>3857</v>
      </c>
      <c r="F60" s="268" t="s">
        <v>4320</v>
      </c>
      <c r="G60" s="271">
        <f>SUM(H60:DC60)</f>
        <v>0</v>
      </c>
      <c r="H60" s="272">
        <f t="shared" ref="H60:Y60" si="80">(H58*H59)/1000</f>
        <v>0</v>
      </c>
      <c r="I60" s="272">
        <f t="shared" si="80"/>
        <v>0</v>
      </c>
      <c r="J60" s="272">
        <f t="shared" si="80"/>
        <v>0</v>
      </c>
      <c r="K60" s="272">
        <f t="shared" si="80"/>
        <v>0</v>
      </c>
      <c r="L60" s="272">
        <f t="shared" si="80"/>
        <v>0</v>
      </c>
      <c r="M60" s="272">
        <f t="shared" si="80"/>
        <v>0</v>
      </c>
      <c r="N60" s="272">
        <f t="shared" si="80"/>
        <v>0</v>
      </c>
      <c r="O60" s="272">
        <f t="shared" si="80"/>
        <v>0</v>
      </c>
      <c r="P60" s="272">
        <f t="shared" si="80"/>
        <v>0</v>
      </c>
      <c r="Q60" s="272">
        <f t="shared" si="80"/>
        <v>0</v>
      </c>
      <c r="R60" s="272">
        <f t="shared" si="80"/>
        <v>0</v>
      </c>
      <c r="S60" s="272">
        <f t="shared" si="80"/>
        <v>0</v>
      </c>
      <c r="T60" s="272">
        <f t="shared" si="80"/>
        <v>0</v>
      </c>
      <c r="U60" s="272">
        <f t="shared" si="80"/>
        <v>0</v>
      </c>
      <c r="V60" s="272">
        <f t="shared" si="80"/>
        <v>0</v>
      </c>
      <c r="W60" s="272">
        <f t="shared" si="80"/>
        <v>0</v>
      </c>
      <c r="X60" s="272">
        <f t="shared" si="80"/>
        <v>0</v>
      </c>
      <c r="Y60" s="272">
        <f t="shared" si="80"/>
        <v>0</v>
      </c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>
        <f>(DB58*DB59)/1000</f>
        <v>0</v>
      </c>
      <c r="DC60" s="272">
        <f>(DC58*DC59)/1000</f>
        <v>0</v>
      </c>
    </row>
    <row r="61" spans="2:107" ht="15" hidden="1" customHeight="1" x14ac:dyDescent="0.25">
      <c r="B61" s="902">
        <v>34</v>
      </c>
      <c r="C61" s="264" t="s">
        <v>4475</v>
      </c>
      <c r="D61" s="264"/>
      <c r="E61" s="265"/>
      <c r="F61" s="268" t="s">
        <v>4476</v>
      </c>
      <c r="G61" s="271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</row>
    <row r="62" spans="2:107" ht="15" hidden="1" customHeight="1" x14ac:dyDescent="0.25">
      <c r="B62" s="758"/>
      <c r="C62" s="264" t="s">
        <v>4477</v>
      </c>
      <c r="D62" s="264"/>
      <c r="E62" s="265"/>
      <c r="F62" s="268" t="s">
        <v>4478</v>
      </c>
      <c r="G62" s="271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</row>
    <row r="63" spans="2:107" ht="15" hidden="1" customHeight="1" x14ac:dyDescent="0.25">
      <c r="B63" s="760"/>
      <c r="C63" s="264" t="s">
        <v>4479</v>
      </c>
      <c r="D63" s="264"/>
      <c r="E63" s="265" t="s">
        <v>4480</v>
      </c>
      <c r="F63" s="268" t="s">
        <v>4481</v>
      </c>
      <c r="G63" s="271">
        <f>SUM(H63:DC63)</f>
        <v>0</v>
      </c>
      <c r="H63" s="272">
        <f t="shared" ref="H63:Y63" si="81">H58*H61*H62</f>
        <v>0</v>
      </c>
      <c r="I63" s="272">
        <f t="shared" si="81"/>
        <v>0</v>
      </c>
      <c r="J63" s="272">
        <f t="shared" si="81"/>
        <v>0</v>
      </c>
      <c r="K63" s="272">
        <f t="shared" si="81"/>
        <v>0</v>
      </c>
      <c r="L63" s="272">
        <f t="shared" si="81"/>
        <v>0</v>
      </c>
      <c r="M63" s="272">
        <f t="shared" si="81"/>
        <v>0</v>
      </c>
      <c r="N63" s="272">
        <f t="shared" si="81"/>
        <v>0</v>
      </c>
      <c r="O63" s="272">
        <f t="shared" si="81"/>
        <v>0</v>
      </c>
      <c r="P63" s="272">
        <f t="shared" si="81"/>
        <v>0</v>
      </c>
      <c r="Q63" s="272">
        <f t="shared" si="81"/>
        <v>0</v>
      </c>
      <c r="R63" s="272">
        <f t="shared" si="81"/>
        <v>0</v>
      </c>
      <c r="S63" s="272">
        <f t="shared" si="81"/>
        <v>0</v>
      </c>
      <c r="T63" s="272">
        <f t="shared" si="81"/>
        <v>0</v>
      </c>
      <c r="U63" s="272">
        <f t="shared" si="81"/>
        <v>0</v>
      </c>
      <c r="V63" s="272">
        <f t="shared" si="81"/>
        <v>0</v>
      </c>
      <c r="W63" s="272">
        <f t="shared" si="81"/>
        <v>0</v>
      </c>
      <c r="X63" s="272">
        <f t="shared" si="81"/>
        <v>0</v>
      </c>
      <c r="Y63" s="272">
        <f t="shared" si="81"/>
        <v>0</v>
      </c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>
        <f>DB58*DB61*DB62</f>
        <v>0</v>
      </c>
      <c r="DC63" s="272">
        <f>DC58*DC61*DC62</f>
        <v>0</v>
      </c>
    </row>
    <row r="64" spans="2:107" ht="15" hidden="1" customHeight="1" x14ac:dyDescent="0.25">
      <c r="B64" s="902">
        <v>35</v>
      </c>
      <c r="C64" s="264" t="s">
        <v>4207</v>
      </c>
      <c r="D64" s="264"/>
      <c r="E64" s="273" t="s">
        <v>4208</v>
      </c>
      <c r="F64" s="276"/>
      <c r="G64" s="274" t="str">
        <f>IF(COUNTA(H64:DC64)=0,"",IF(OR(LARGE(H64:DC64,1)&gt;24,SMALL(H64:DC64,1)&lt;0),"ERRO",""))</f>
        <v/>
      </c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</row>
    <row r="65" spans="2:107" ht="15" hidden="1" customHeight="1" x14ac:dyDescent="0.25">
      <c r="B65" s="758"/>
      <c r="C65" s="275" t="s">
        <v>4209</v>
      </c>
      <c r="D65" s="275"/>
      <c r="E65" s="552" t="s">
        <v>4210</v>
      </c>
      <c r="F65" s="276"/>
      <c r="G65" s="274" t="str">
        <f>IF(COUNTA(H65:DC65)=0,"",IF(OR(LARGE(H65:DC65,1)&gt;365,SMALL(H65:DC65,1)&lt;0),"ERRO",""))</f>
        <v/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</row>
    <row r="66" spans="2:107" ht="15" hidden="1" customHeight="1" x14ac:dyDescent="0.25">
      <c r="B66" s="760"/>
      <c r="C66" s="264" t="s">
        <v>4211</v>
      </c>
      <c r="D66" s="264"/>
      <c r="E66" s="265" t="s">
        <v>4212</v>
      </c>
      <c r="F66" s="276" t="s">
        <v>4213</v>
      </c>
      <c r="G66" s="274" t="str">
        <f>IF(COUNTA(H66:DC66)=0,"",IF(OR(LARGE(H66:DC66,1)&gt;8760,SMALL(H66:DC66,1)&lt;0),"ERRO",""))</f>
        <v/>
      </c>
      <c r="H66" s="272">
        <f t="shared" ref="H66:Y66" si="82">H64*H65</f>
        <v>0</v>
      </c>
      <c r="I66" s="272">
        <f t="shared" si="82"/>
        <v>0</v>
      </c>
      <c r="J66" s="272">
        <f t="shared" si="82"/>
        <v>0</v>
      </c>
      <c r="K66" s="272">
        <f t="shared" si="82"/>
        <v>0</v>
      </c>
      <c r="L66" s="272">
        <f t="shared" si="82"/>
        <v>0</v>
      </c>
      <c r="M66" s="272">
        <f t="shared" si="82"/>
        <v>0</v>
      </c>
      <c r="N66" s="272">
        <f t="shared" si="82"/>
        <v>0</v>
      </c>
      <c r="O66" s="272">
        <f t="shared" si="82"/>
        <v>0</v>
      </c>
      <c r="P66" s="272">
        <f t="shared" si="82"/>
        <v>0</v>
      </c>
      <c r="Q66" s="272">
        <f t="shared" si="82"/>
        <v>0</v>
      </c>
      <c r="R66" s="272">
        <f t="shared" si="82"/>
        <v>0</v>
      </c>
      <c r="S66" s="272">
        <f t="shared" si="82"/>
        <v>0</v>
      </c>
      <c r="T66" s="272">
        <f t="shared" si="82"/>
        <v>0</v>
      </c>
      <c r="U66" s="272">
        <f t="shared" si="82"/>
        <v>0</v>
      </c>
      <c r="V66" s="272">
        <f t="shared" si="82"/>
        <v>0</v>
      </c>
      <c r="W66" s="272">
        <f t="shared" si="82"/>
        <v>0</v>
      </c>
      <c r="X66" s="272">
        <f t="shared" si="82"/>
        <v>0</v>
      </c>
      <c r="Y66" s="272">
        <f t="shared" si="82"/>
        <v>0</v>
      </c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>
        <f>DB64*DB65</f>
        <v>0</v>
      </c>
      <c r="DC66" s="272">
        <f>DC64*DC65</f>
        <v>0</v>
      </c>
    </row>
    <row r="67" spans="2:107" ht="15" hidden="1" customHeight="1" x14ac:dyDescent="0.25">
      <c r="B67" s="902">
        <v>36</v>
      </c>
      <c r="C67" s="264" t="s">
        <v>4222</v>
      </c>
      <c r="D67" s="264"/>
      <c r="E67" s="265" t="s">
        <v>3857</v>
      </c>
      <c r="F67" s="276" t="s">
        <v>4223</v>
      </c>
      <c r="G67" s="550">
        <f>SUM(H67:DC67)</f>
        <v>0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</row>
    <row r="68" spans="2:107" ht="15" hidden="1" customHeight="1" x14ac:dyDescent="0.25">
      <c r="B68" s="760"/>
      <c r="C68" s="264" t="s">
        <v>4224</v>
      </c>
      <c r="D68" s="264"/>
      <c r="E68" s="265"/>
      <c r="F68" s="276" t="s">
        <v>4225</v>
      </c>
      <c r="G68" s="274" t="str">
        <f>IF(COUNTA(H68:DC68)=0,"",IF(OR(LARGE(H68:DC68,1)&gt;1,SMALL(H68:DC68,1)&lt;0),"ERRO",""))</f>
        <v/>
      </c>
      <c r="H68" s="272">
        <f t="shared" ref="H68:Y68" si="83">IF(H60=0,0,H67/H60)</f>
        <v>0</v>
      </c>
      <c r="I68" s="272">
        <f t="shared" si="83"/>
        <v>0</v>
      </c>
      <c r="J68" s="272">
        <f t="shared" si="83"/>
        <v>0</v>
      </c>
      <c r="K68" s="272">
        <f t="shared" si="83"/>
        <v>0</v>
      </c>
      <c r="L68" s="272">
        <f t="shared" si="83"/>
        <v>0</v>
      </c>
      <c r="M68" s="272">
        <f t="shared" si="83"/>
        <v>0</v>
      </c>
      <c r="N68" s="272">
        <f t="shared" si="83"/>
        <v>0</v>
      </c>
      <c r="O68" s="272">
        <f t="shared" si="83"/>
        <v>0</v>
      </c>
      <c r="P68" s="272">
        <f t="shared" si="83"/>
        <v>0</v>
      </c>
      <c r="Q68" s="272">
        <f t="shared" si="83"/>
        <v>0</v>
      </c>
      <c r="R68" s="272">
        <f t="shared" si="83"/>
        <v>0</v>
      </c>
      <c r="S68" s="272">
        <f t="shared" si="83"/>
        <v>0</v>
      </c>
      <c r="T68" s="272">
        <f t="shared" si="83"/>
        <v>0</v>
      </c>
      <c r="U68" s="272">
        <f t="shared" si="83"/>
        <v>0</v>
      </c>
      <c r="V68" s="272">
        <f t="shared" si="83"/>
        <v>0</v>
      </c>
      <c r="W68" s="272">
        <f t="shared" si="83"/>
        <v>0</v>
      </c>
      <c r="X68" s="272">
        <f t="shared" si="83"/>
        <v>0</v>
      </c>
      <c r="Y68" s="272">
        <f t="shared" si="83"/>
        <v>0</v>
      </c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>
        <f>IF(DB60=0,0,DB67/DB60)</f>
        <v>0</v>
      </c>
      <c r="DC68" s="272">
        <f>IF(DC60=0,0,DC67/DC60)</f>
        <v>0</v>
      </c>
    </row>
    <row r="69" spans="2:107" ht="15" hidden="1" customHeight="1" x14ac:dyDescent="0.25">
      <c r="B69" s="259">
        <v>37</v>
      </c>
      <c r="C69" s="264" t="s">
        <v>4226</v>
      </c>
      <c r="D69" s="264"/>
      <c r="E69" s="265" t="s">
        <v>3854</v>
      </c>
      <c r="F69" s="276" t="s">
        <v>4227</v>
      </c>
      <c r="G69" s="271">
        <f>SUM(H69:DC69)</f>
        <v>0</v>
      </c>
      <c r="H69" s="277">
        <f t="shared" ref="H69:Y69" si="84">(H63*H66)/1000</f>
        <v>0</v>
      </c>
      <c r="I69" s="277">
        <f t="shared" si="84"/>
        <v>0</v>
      </c>
      <c r="J69" s="277">
        <f t="shared" si="84"/>
        <v>0</v>
      </c>
      <c r="K69" s="277">
        <f t="shared" si="84"/>
        <v>0</v>
      </c>
      <c r="L69" s="277">
        <f t="shared" si="84"/>
        <v>0</v>
      </c>
      <c r="M69" s="277">
        <f t="shared" si="84"/>
        <v>0</v>
      </c>
      <c r="N69" s="277">
        <f t="shared" si="84"/>
        <v>0</v>
      </c>
      <c r="O69" s="277">
        <f t="shared" si="84"/>
        <v>0</v>
      </c>
      <c r="P69" s="277">
        <f t="shared" si="84"/>
        <v>0</v>
      </c>
      <c r="Q69" s="277">
        <f t="shared" si="84"/>
        <v>0</v>
      </c>
      <c r="R69" s="277">
        <f t="shared" si="84"/>
        <v>0</v>
      </c>
      <c r="S69" s="277">
        <f t="shared" si="84"/>
        <v>0</v>
      </c>
      <c r="T69" s="277">
        <f t="shared" si="84"/>
        <v>0</v>
      </c>
      <c r="U69" s="277">
        <f t="shared" si="84"/>
        <v>0</v>
      </c>
      <c r="V69" s="277">
        <f t="shared" si="84"/>
        <v>0</v>
      </c>
      <c r="W69" s="277">
        <f t="shared" si="84"/>
        <v>0</v>
      </c>
      <c r="X69" s="277">
        <f t="shared" si="84"/>
        <v>0</v>
      </c>
      <c r="Y69" s="277">
        <f t="shared" si="84"/>
        <v>0</v>
      </c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>
        <f>(DB63*DB66)/1000</f>
        <v>0</v>
      </c>
      <c r="DC69" s="277">
        <f>(DC63*DC66)/1000</f>
        <v>0</v>
      </c>
    </row>
    <row r="70" spans="2:107" ht="15" hidden="1" customHeight="1" x14ac:dyDescent="0.25">
      <c r="B70" s="259">
        <v>38</v>
      </c>
      <c r="C70" s="264" t="s">
        <v>4260</v>
      </c>
      <c r="D70" s="264"/>
      <c r="E70" s="265" t="s">
        <v>3912</v>
      </c>
      <c r="F70" s="276" t="s">
        <v>4261</v>
      </c>
      <c r="G70" s="278">
        <f t="shared" ref="G70:Y70" si="85">IF(OR(G19=0,G69=0),0,(G69-G19)/G19)</f>
        <v>0</v>
      </c>
      <c r="H70" s="279">
        <f t="shared" si="85"/>
        <v>0</v>
      </c>
      <c r="I70" s="279">
        <f t="shared" si="85"/>
        <v>0</v>
      </c>
      <c r="J70" s="279">
        <f t="shared" si="85"/>
        <v>0</v>
      </c>
      <c r="K70" s="279">
        <f t="shared" si="85"/>
        <v>0</v>
      </c>
      <c r="L70" s="279">
        <f t="shared" si="85"/>
        <v>0</v>
      </c>
      <c r="M70" s="279">
        <f t="shared" si="85"/>
        <v>0</v>
      </c>
      <c r="N70" s="279">
        <f t="shared" si="85"/>
        <v>0</v>
      </c>
      <c r="O70" s="279">
        <f t="shared" si="85"/>
        <v>0</v>
      </c>
      <c r="P70" s="279">
        <f t="shared" si="85"/>
        <v>0</v>
      </c>
      <c r="Q70" s="279">
        <f t="shared" si="85"/>
        <v>0</v>
      </c>
      <c r="R70" s="279">
        <f t="shared" si="85"/>
        <v>0</v>
      </c>
      <c r="S70" s="279">
        <f t="shared" si="85"/>
        <v>0</v>
      </c>
      <c r="T70" s="279">
        <f t="shared" si="85"/>
        <v>0</v>
      </c>
      <c r="U70" s="279">
        <f t="shared" si="85"/>
        <v>0</v>
      </c>
      <c r="V70" s="279">
        <f t="shared" si="85"/>
        <v>0</v>
      </c>
      <c r="W70" s="279">
        <f t="shared" si="85"/>
        <v>0</v>
      </c>
      <c r="X70" s="279">
        <f t="shared" si="85"/>
        <v>0</v>
      </c>
      <c r="Y70" s="279">
        <f t="shared" si="85"/>
        <v>0</v>
      </c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79"/>
      <c r="BU70" s="279"/>
      <c r="BV70" s="279"/>
      <c r="BW70" s="279"/>
      <c r="BX70" s="279"/>
      <c r="BY70" s="279"/>
      <c r="BZ70" s="279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>
        <f>IF(OR(DB19=0,DB69=0),0,(DB69-DB19)/DB19)</f>
        <v>0</v>
      </c>
      <c r="DC70" s="279">
        <f>IF(OR(DC19=0,DC69=0),0,(DC69-DC19)/DC19)</f>
        <v>0</v>
      </c>
    </row>
    <row r="71" spans="2:107" ht="15" hidden="1" customHeight="1" x14ac:dyDescent="0.25">
      <c r="B71" s="259">
        <v>39</v>
      </c>
      <c r="C71" s="264" t="s">
        <v>4228</v>
      </c>
      <c r="D71" s="264"/>
      <c r="E71" s="265" t="s">
        <v>3857</v>
      </c>
      <c r="F71" s="276" t="s">
        <v>4229</v>
      </c>
      <c r="G71" s="271">
        <f>SUM(H71:DC71)</f>
        <v>0</v>
      </c>
      <c r="H71" s="277">
        <f t="shared" ref="H71:Y71" si="86">H60*H68</f>
        <v>0</v>
      </c>
      <c r="I71" s="277">
        <f t="shared" si="86"/>
        <v>0</v>
      </c>
      <c r="J71" s="277">
        <f t="shared" si="86"/>
        <v>0</v>
      </c>
      <c r="K71" s="277">
        <f t="shared" si="86"/>
        <v>0</v>
      </c>
      <c r="L71" s="277">
        <f t="shared" si="86"/>
        <v>0</v>
      </c>
      <c r="M71" s="277">
        <f t="shared" si="86"/>
        <v>0</v>
      </c>
      <c r="N71" s="277">
        <f t="shared" si="86"/>
        <v>0</v>
      </c>
      <c r="O71" s="277">
        <f t="shared" si="86"/>
        <v>0</v>
      </c>
      <c r="P71" s="277">
        <f t="shared" si="86"/>
        <v>0</v>
      </c>
      <c r="Q71" s="277">
        <f t="shared" si="86"/>
        <v>0</v>
      </c>
      <c r="R71" s="277">
        <f t="shared" si="86"/>
        <v>0</v>
      </c>
      <c r="S71" s="277">
        <f t="shared" si="86"/>
        <v>0</v>
      </c>
      <c r="T71" s="277">
        <f t="shared" si="86"/>
        <v>0</v>
      </c>
      <c r="U71" s="277">
        <f t="shared" si="86"/>
        <v>0</v>
      </c>
      <c r="V71" s="277">
        <f t="shared" si="86"/>
        <v>0</v>
      </c>
      <c r="W71" s="277">
        <f t="shared" si="86"/>
        <v>0</v>
      </c>
      <c r="X71" s="277">
        <f t="shared" si="86"/>
        <v>0</v>
      </c>
      <c r="Y71" s="277">
        <f t="shared" si="86"/>
        <v>0</v>
      </c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>
        <f>DB60*DB68</f>
        <v>0</v>
      </c>
      <c r="DC71" s="277">
        <f>DC60*DC68</f>
        <v>0</v>
      </c>
    </row>
    <row r="72" spans="2:107" ht="15" hidden="1" customHeight="1" x14ac:dyDescent="0.25">
      <c r="B72" s="259">
        <v>40</v>
      </c>
      <c r="C72" s="264" t="s">
        <v>4262</v>
      </c>
      <c r="D72" s="264"/>
      <c r="E72" s="265" t="s">
        <v>3912</v>
      </c>
      <c r="F72" s="276" t="s">
        <v>4263</v>
      </c>
      <c r="G72" s="278">
        <f t="shared" ref="G72:Y72" si="87">IF(OR(G20=0,G71=0),0,(G71-G20)/G20)</f>
        <v>0</v>
      </c>
      <c r="H72" s="279">
        <f t="shared" si="87"/>
        <v>0</v>
      </c>
      <c r="I72" s="279">
        <f t="shared" si="87"/>
        <v>0</v>
      </c>
      <c r="J72" s="279">
        <f t="shared" si="87"/>
        <v>0</v>
      </c>
      <c r="K72" s="279">
        <f t="shared" si="87"/>
        <v>0</v>
      </c>
      <c r="L72" s="279">
        <f t="shared" si="87"/>
        <v>0</v>
      </c>
      <c r="M72" s="279">
        <f t="shared" si="87"/>
        <v>0</v>
      </c>
      <c r="N72" s="279">
        <f t="shared" si="87"/>
        <v>0</v>
      </c>
      <c r="O72" s="279">
        <f t="shared" si="87"/>
        <v>0</v>
      </c>
      <c r="P72" s="279">
        <f t="shared" si="87"/>
        <v>0</v>
      </c>
      <c r="Q72" s="279">
        <f t="shared" si="87"/>
        <v>0</v>
      </c>
      <c r="R72" s="279">
        <f t="shared" si="87"/>
        <v>0</v>
      </c>
      <c r="S72" s="279">
        <f t="shared" si="87"/>
        <v>0</v>
      </c>
      <c r="T72" s="279">
        <f t="shared" si="87"/>
        <v>0</v>
      </c>
      <c r="U72" s="279">
        <f t="shared" si="87"/>
        <v>0</v>
      </c>
      <c r="V72" s="279">
        <f t="shared" si="87"/>
        <v>0</v>
      </c>
      <c r="W72" s="279">
        <f t="shared" si="87"/>
        <v>0</v>
      </c>
      <c r="X72" s="279">
        <f t="shared" si="87"/>
        <v>0</v>
      </c>
      <c r="Y72" s="279">
        <f t="shared" si="87"/>
        <v>0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279"/>
      <c r="BU72" s="279"/>
      <c r="BV72" s="279"/>
      <c r="BW72" s="279"/>
      <c r="BX72" s="279"/>
      <c r="BY72" s="279"/>
      <c r="BZ72" s="279"/>
      <c r="CA72" s="279"/>
      <c r="CB72" s="279"/>
      <c r="CC72" s="279"/>
      <c r="CD72" s="279"/>
      <c r="CE72" s="279"/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>
        <f>IF(OR(DB20=0,DB71=0),0,(DB71-DB20)/DB20)</f>
        <v>0</v>
      </c>
      <c r="DC72" s="279">
        <f>IF(OR(DC20=0,DC71=0),0,(DC71-DC20)/DC20)</f>
        <v>0</v>
      </c>
    </row>
    <row r="73" spans="2:107" hidden="1" x14ac:dyDescent="0.25"/>
    <row r="74" spans="2:107" ht="15" hidden="1" customHeight="1" x14ac:dyDescent="0.25">
      <c r="B74" s="858" t="s">
        <v>4976</v>
      </c>
      <c r="C74" s="859"/>
      <c r="D74" s="859"/>
      <c r="E74" s="859"/>
      <c r="F74" s="859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</row>
    <row r="75" spans="2:107" s="103" customFormat="1" ht="15" hidden="1" customHeight="1" x14ac:dyDescent="0.25">
      <c r="B75" s="259"/>
      <c r="C75" s="260"/>
      <c r="D75" s="260"/>
      <c r="E75" s="260"/>
      <c r="F75" s="261"/>
      <c r="G75" s="262" t="s">
        <v>76</v>
      </c>
      <c r="H75" s="263" t="s">
        <v>4866</v>
      </c>
      <c r="I75" s="263" t="s">
        <v>4867</v>
      </c>
      <c r="J75" s="263" t="s">
        <v>4868</v>
      </c>
      <c r="K75" s="263" t="s">
        <v>4869</v>
      </c>
      <c r="L75" s="263" t="s">
        <v>4870</v>
      </c>
      <c r="M75" s="263" t="s">
        <v>4871</v>
      </c>
      <c r="N75" s="263" t="s">
        <v>4872</v>
      </c>
      <c r="O75" s="263" t="s">
        <v>4873</v>
      </c>
      <c r="P75" s="263" t="s">
        <v>4874</v>
      </c>
      <c r="Q75" s="263" t="s">
        <v>4875</v>
      </c>
      <c r="R75" s="263" t="s">
        <v>4876</v>
      </c>
      <c r="S75" s="263" t="s">
        <v>4877</v>
      </c>
      <c r="T75" s="263" t="s">
        <v>4878</v>
      </c>
      <c r="U75" s="263" t="s">
        <v>4879</v>
      </c>
      <c r="V75" s="263" t="s">
        <v>4880</v>
      </c>
      <c r="W75" s="263" t="s">
        <v>4881</v>
      </c>
      <c r="X75" s="263" t="s">
        <v>4882</v>
      </c>
      <c r="Y75" s="263" t="s">
        <v>4883</v>
      </c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3" t="s">
        <v>4884</v>
      </c>
      <c r="DC75" s="263" t="s">
        <v>4885</v>
      </c>
    </row>
    <row r="76" spans="2:107" ht="15" hidden="1" customHeight="1" x14ac:dyDescent="0.25">
      <c r="B76" s="259">
        <v>41</v>
      </c>
      <c r="C76" s="264" t="s">
        <v>4196</v>
      </c>
      <c r="D76" s="264"/>
      <c r="E76" s="265"/>
      <c r="F76" s="266"/>
      <c r="G76" s="267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</row>
    <row r="77" spans="2:107" ht="15" hidden="1" customHeight="1" x14ac:dyDescent="0.25">
      <c r="B77" s="259">
        <v>42</v>
      </c>
      <c r="C77" s="264" t="s">
        <v>4256</v>
      </c>
      <c r="D77" s="264"/>
      <c r="E77" s="265"/>
      <c r="F77" s="268" t="s">
        <v>4265</v>
      </c>
      <c r="G77" s="269">
        <f>SUM(H77:DC77)</f>
        <v>0</v>
      </c>
      <c r="H77" s="270"/>
      <c r="I77" s="270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</row>
    <row r="78" spans="2:107" ht="15" hidden="1" customHeight="1" x14ac:dyDescent="0.25">
      <c r="B78" s="902">
        <v>43</v>
      </c>
      <c r="C78" s="264" t="s">
        <v>4473</v>
      </c>
      <c r="D78" s="264"/>
      <c r="E78" s="265" t="s">
        <v>4199</v>
      </c>
      <c r="F78" s="268" t="s">
        <v>4483</v>
      </c>
      <c r="G78" s="271">
        <f>SUM(H78:DC78)</f>
        <v>0</v>
      </c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</row>
    <row r="79" spans="2:107" ht="15" hidden="1" customHeight="1" x14ac:dyDescent="0.25">
      <c r="B79" s="760"/>
      <c r="C79" s="264" t="s">
        <v>4331</v>
      </c>
      <c r="D79" s="264"/>
      <c r="E79" s="265" t="s">
        <v>3857</v>
      </c>
      <c r="F79" s="268" t="s">
        <v>4464</v>
      </c>
      <c r="G79" s="271">
        <f>SUM(H79:DC79)</f>
        <v>0</v>
      </c>
      <c r="H79" s="272">
        <f t="shared" ref="H79:Y79" si="88">(H77*H78)/1000</f>
        <v>0</v>
      </c>
      <c r="I79" s="272">
        <f t="shared" si="88"/>
        <v>0</v>
      </c>
      <c r="J79" s="272">
        <f t="shared" si="88"/>
        <v>0</v>
      </c>
      <c r="K79" s="272">
        <f t="shared" si="88"/>
        <v>0</v>
      </c>
      <c r="L79" s="272">
        <f t="shared" si="88"/>
        <v>0</v>
      </c>
      <c r="M79" s="272">
        <f t="shared" si="88"/>
        <v>0</v>
      </c>
      <c r="N79" s="272">
        <f t="shared" si="88"/>
        <v>0</v>
      </c>
      <c r="O79" s="272">
        <f t="shared" si="88"/>
        <v>0</v>
      </c>
      <c r="P79" s="272">
        <f t="shared" si="88"/>
        <v>0</v>
      </c>
      <c r="Q79" s="272">
        <f t="shared" si="88"/>
        <v>0</v>
      </c>
      <c r="R79" s="272">
        <f t="shared" si="88"/>
        <v>0</v>
      </c>
      <c r="S79" s="272">
        <f t="shared" si="88"/>
        <v>0</v>
      </c>
      <c r="T79" s="272">
        <f t="shared" si="88"/>
        <v>0</v>
      </c>
      <c r="U79" s="272">
        <f t="shared" si="88"/>
        <v>0</v>
      </c>
      <c r="V79" s="272">
        <f t="shared" si="88"/>
        <v>0</v>
      </c>
      <c r="W79" s="272">
        <f t="shared" si="88"/>
        <v>0</v>
      </c>
      <c r="X79" s="272">
        <f t="shared" si="88"/>
        <v>0</v>
      </c>
      <c r="Y79" s="272">
        <f t="shared" si="88"/>
        <v>0</v>
      </c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>
        <f>(DB77*DB78)/1000</f>
        <v>0</v>
      </c>
      <c r="DC79" s="272">
        <f>(DC77*DC78)/1000</f>
        <v>0</v>
      </c>
    </row>
    <row r="80" spans="2:107" ht="15" hidden="1" customHeight="1" x14ac:dyDescent="0.25">
      <c r="B80" s="902">
        <v>44</v>
      </c>
      <c r="C80" s="264" t="s">
        <v>4475</v>
      </c>
      <c r="D80" s="264"/>
      <c r="E80" s="265"/>
      <c r="F80" s="268" t="s">
        <v>4484</v>
      </c>
      <c r="G80" s="271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</row>
    <row r="81" spans="2:107" ht="15" hidden="1" customHeight="1" x14ac:dyDescent="0.25">
      <c r="B81" s="758"/>
      <c r="C81" s="264" t="s">
        <v>4477</v>
      </c>
      <c r="D81" s="264"/>
      <c r="E81" s="265"/>
      <c r="F81" s="268" t="s">
        <v>4485</v>
      </c>
      <c r="G81" s="271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</row>
    <row r="82" spans="2:107" ht="15" hidden="1" customHeight="1" x14ac:dyDescent="0.25">
      <c r="B82" s="760"/>
      <c r="C82" s="264" t="s">
        <v>4479</v>
      </c>
      <c r="D82" s="264"/>
      <c r="E82" s="265" t="s">
        <v>4480</v>
      </c>
      <c r="F82" s="268" t="s">
        <v>4486</v>
      </c>
      <c r="G82" s="271">
        <f>SUM(H82:DC82)</f>
        <v>0</v>
      </c>
      <c r="H82" s="272">
        <f t="shared" ref="H82:Y82" si="89">H77*H80*H81</f>
        <v>0</v>
      </c>
      <c r="I82" s="272">
        <f t="shared" si="89"/>
        <v>0</v>
      </c>
      <c r="J82" s="272">
        <f t="shared" si="89"/>
        <v>0</v>
      </c>
      <c r="K82" s="272">
        <f t="shared" si="89"/>
        <v>0</v>
      </c>
      <c r="L82" s="272">
        <f t="shared" si="89"/>
        <v>0</v>
      </c>
      <c r="M82" s="272">
        <f t="shared" si="89"/>
        <v>0</v>
      </c>
      <c r="N82" s="272">
        <f t="shared" si="89"/>
        <v>0</v>
      </c>
      <c r="O82" s="272">
        <f t="shared" si="89"/>
        <v>0</v>
      </c>
      <c r="P82" s="272">
        <f t="shared" si="89"/>
        <v>0</v>
      </c>
      <c r="Q82" s="272">
        <f t="shared" si="89"/>
        <v>0</v>
      </c>
      <c r="R82" s="272">
        <f t="shared" si="89"/>
        <v>0</v>
      </c>
      <c r="S82" s="272">
        <f t="shared" si="89"/>
        <v>0</v>
      </c>
      <c r="T82" s="272">
        <f t="shared" si="89"/>
        <v>0</v>
      </c>
      <c r="U82" s="272">
        <f t="shared" si="89"/>
        <v>0</v>
      </c>
      <c r="V82" s="272">
        <f t="shared" si="89"/>
        <v>0</v>
      </c>
      <c r="W82" s="272">
        <f t="shared" si="89"/>
        <v>0</v>
      </c>
      <c r="X82" s="272">
        <f t="shared" si="89"/>
        <v>0</v>
      </c>
      <c r="Y82" s="272">
        <f t="shared" si="89"/>
        <v>0</v>
      </c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>
        <f>DB77*DB80*DB81</f>
        <v>0</v>
      </c>
      <c r="DC82" s="272">
        <f>DC77*DC80*DC81</f>
        <v>0</v>
      </c>
    </row>
    <row r="83" spans="2:107" ht="15" hidden="1" customHeight="1" x14ac:dyDescent="0.25">
      <c r="B83" s="902">
        <v>45</v>
      </c>
      <c r="C83" s="264" t="s">
        <v>4207</v>
      </c>
      <c r="D83" s="264"/>
      <c r="E83" s="273" t="s">
        <v>4208</v>
      </c>
      <c r="F83" s="276"/>
      <c r="G83" s="274" t="str">
        <f>IF(COUNTA(H83:DC83)=0,"",IF(OR(LARGE(H83:DC83,1)&gt;24,SMALL(H83:DC83,1)&lt;0),"ERRO",""))</f>
        <v/>
      </c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</row>
    <row r="84" spans="2:107" ht="15" hidden="1" customHeight="1" x14ac:dyDescent="0.25">
      <c r="B84" s="758"/>
      <c r="C84" s="275" t="s">
        <v>4209</v>
      </c>
      <c r="D84" s="275"/>
      <c r="E84" s="552" t="s">
        <v>4210</v>
      </c>
      <c r="F84" s="276"/>
      <c r="G84" s="274" t="str">
        <f>IF(COUNTA(H84:DC84)=0,"",IF(OR(LARGE(H84:DC84,1)&gt;365,SMALL(H84:DC84,1)&lt;0),"ERRO",""))</f>
        <v/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</row>
    <row r="85" spans="2:107" ht="15" hidden="1" customHeight="1" x14ac:dyDescent="0.25">
      <c r="B85" s="760"/>
      <c r="C85" s="264" t="s">
        <v>4211</v>
      </c>
      <c r="D85" s="264"/>
      <c r="E85" s="265" t="s">
        <v>4212</v>
      </c>
      <c r="F85" s="276" t="s">
        <v>4234</v>
      </c>
      <c r="G85" s="274" t="str">
        <f>IF(COUNTA(H85:DC85)=0,"",IF(OR(LARGE(H85:DC85,1)&gt;8760,SMALL(H85:DC85,1)&lt;0),"ERRO",""))</f>
        <v/>
      </c>
      <c r="H85" s="272">
        <f t="shared" ref="H85:Y85" si="90">H83*H84</f>
        <v>0</v>
      </c>
      <c r="I85" s="272">
        <f t="shared" si="90"/>
        <v>0</v>
      </c>
      <c r="J85" s="272">
        <f t="shared" si="90"/>
        <v>0</v>
      </c>
      <c r="K85" s="272">
        <f t="shared" si="90"/>
        <v>0</v>
      </c>
      <c r="L85" s="272">
        <f t="shared" si="90"/>
        <v>0</v>
      </c>
      <c r="M85" s="272">
        <f t="shared" si="90"/>
        <v>0</v>
      </c>
      <c r="N85" s="272">
        <f t="shared" si="90"/>
        <v>0</v>
      </c>
      <c r="O85" s="272">
        <f t="shared" si="90"/>
        <v>0</v>
      </c>
      <c r="P85" s="272">
        <f t="shared" si="90"/>
        <v>0</v>
      </c>
      <c r="Q85" s="272">
        <f t="shared" si="90"/>
        <v>0</v>
      </c>
      <c r="R85" s="272">
        <f t="shared" si="90"/>
        <v>0</v>
      </c>
      <c r="S85" s="272">
        <f t="shared" si="90"/>
        <v>0</v>
      </c>
      <c r="T85" s="272">
        <f t="shared" si="90"/>
        <v>0</v>
      </c>
      <c r="U85" s="272">
        <f t="shared" si="90"/>
        <v>0</v>
      </c>
      <c r="V85" s="272">
        <f t="shared" si="90"/>
        <v>0</v>
      </c>
      <c r="W85" s="272">
        <f t="shared" si="90"/>
        <v>0</v>
      </c>
      <c r="X85" s="272">
        <f t="shared" si="90"/>
        <v>0</v>
      </c>
      <c r="Y85" s="272">
        <f t="shared" si="90"/>
        <v>0</v>
      </c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>
        <f>DB83*DB84</f>
        <v>0</v>
      </c>
      <c r="DC85" s="272">
        <f>DC83*DC84</f>
        <v>0</v>
      </c>
    </row>
    <row r="86" spans="2:107" ht="15" hidden="1" customHeight="1" x14ac:dyDescent="0.25">
      <c r="B86" s="902">
        <v>46</v>
      </c>
      <c r="C86" s="264" t="s">
        <v>4222</v>
      </c>
      <c r="D86" s="264"/>
      <c r="E86" s="265" t="s">
        <v>3857</v>
      </c>
      <c r="F86" s="276" t="s">
        <v>4238</v>
      </c>
      <c r="G86" s="550">
        <f>SUM(H86:DC86)</f>
        <v>0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0"/>
      <c r="DA86" s="240"/>
      <c r="DB86" s="240"/>
      <c r="DC86" s="240"/>
    </row>
    <row r="87" spans="2:107" ht="15" hidden="1" customHeight="1" x14ac:dyDescent="0.25">
      <c r="B87" s="760"/>
      <c r="C87" s="264" t="s">
        <v>4224</v>
      </c>
      <c r="D87" s="264"/>
      <c r="E87" s="265"/>
      <c r="F87" s="276" t="s">
        <v>4239</v>
      </c>
      <c r="G87" s="274" t="str">
        <f>IF(COUNTA(H87:DC87)=0,"",IF(OR(LARGE(H87:DC87,1)&gt;1,SMALL(H87:DC87,1)&lt;0),"ERRO",""))</f>
        <v/>
      </c>
      <c r="H87" s="272">
        <f t="shared" ref="H87:Y87" si="91">IF(H79=0,0,H86/H79)</f>
        <v>0</v>
      </c>
      <c r="I87" s="272">
        <f t="shared" si="91"/>
        <v>0</v>
      </c>
      <c r="J87" s="272">
        <f t="shared" si="91"/>
        <v>0</v>
      </c>
      <c r="K87" s="272">
        <f t="shared" si="91"/>
        <v>0</v>
      </c>
      <c r="L87" s="272">
        <f t="shared" si="91"/>
        <v>0</v>
      </c>
      <c r="M87" s="272">
        <f t="shared" si="91"/>
        <v>0</v>
      </c>
      <c r="N87" s="272">
        <f t="shared" si="91"/>
        <v>0</v>
      </c>
      <c r="O87" s="272">
        <f t="shared" si="91"/>
        <v>0</v>
      </c>
      <c r="P87" s="272">
        <f t="shared" si="91"/>
        <v>0</v>
      </c>
      <c r="Q87" s="272">
        <f t="shared" si="91"/>
        <v>0</v>
      </c>
      <c r="R87" s="272">
        <f t="shared" si="91"/>
        <v>0</v>
      </c>
      <c r="S87" s="272">
        <f t="shared" si="91"/>
        <v>0</v>
      </c>
      <c r="T87" s="272">
        <f t="shared" si="91"/>
        <v>0</v>
      </c>
      <c r="U87" s="272">
        <f t="shared" si="91"/>
        <v>0</v>
      </c>
      <c r="V87" s="272">
        <f t="shared" si="91"/>
        <v>0</v>
      </c>
      <c r="W87" s="272">
        <f t="shared" si="91"/>
        <v>0</v>
      </c>
      <c r="X87" s="272">
        <f t="shared" si="91"/>
        <v>0</v>
      </c>
      <c r="Y87" s="272">
        <f t="shared" si="91"/>
        <v>0</v>
      </c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>
        <f>IF(DB79=0,0,DB86/DB79)</f>
        <v>0</v>
      </c>
      <c r="DC87" s="272">
        <f>IF(DC79=0,0,DC86/DC79)</f>
        <v>0</v>
      </c>
    </row>
    <row r="88" spans="2:107" ht="15" hidden="1" customHeight="1" x14ac:dyDescent="0.25">
      <c r="B88" s="259">
        <v>47</v>
      </c>
      <c r="C88" s="264" t="s">
        <v>4226</v>
      </c>
      <c r="D88" s="264"/>
      <c r="E88" s="265" t="s">
        <v>3854</v>
      </c>
      <c r="F88" s="276" t="s">
        <v>4240</v>
      </c>
      <c r="G88" s="271">
        <f>SUM(H88:DC88)</f>
        <v>0</v>
      </c>
      <c r="H88" s="277">
        <f t="shared" ref="H88:Y88" si="92">(H82*H85)/1000</f>
        <v>0</v>
      </c>
      <c r="I88" s="277">
        <f t="shared" si="92"/>
        <v>0</v>
      </c>
      <c r="J88" s="277">
        <f t="shared" si="92"/>
        <v>0</v>
      </c>
      <c r="K88" s="277">
        <f t="shared" si="92"/>
        <v>0</v>
      </c>
      <c r="L88" s="277">
        <f t="shared" si="92"/>
        <v>0</v>
      </c>
      <c r="M88" s="277">
        <f t="shared" si="92"/>
        <v>0</v>
      </c>
      <c r="N88" s="277">
        <f t="shared" si="92"/>
        <v>0</v>
      </c>
      <c r="O88" s="277">
        <f t="shared" si="92"/>
        <v>0</v>
      </c>
      <c r="P88" s="277">
        <f t="shared" si="92"/>
        <v>0</v>
      </c>
      <c r="Q88" s="277">
        <f t="shared" si="92"/>
        <v>0</v>
      </c>
      <c r="R88" s="277">
        <f t="shared" si="92"/>
        <v>0</v>
      </c>
      <c r="S88" s="277">
        <f t="shared" si="92"/>
        <v>0</v>
      </c>
      <c r="T88" s="277">
        <f t="shared" si="92"/>
        <v>0</v>
      </c>
      <c r="U88" s="277">
        <f t="shared" si="92"/>
        <v>0</v>
      </c>
      <c r="V88" s="277">
        <f t="shared" si="92"/>
        <v>0</v>
      </c>
      <c r="W88" s="277">
        <f t="shared" si="92"/>
        <v>0</v>
      </c>
      <c r="X88" s="277">
        <f t="shared" si="92"/>
        <v>0</v>
      </c>
      <c r="Y88" s="277">
        <f t="shared" si="92"/>
        <v>0</v>
      </c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7"/>
      <c r="DB88" s="277">
        <f>(DB82*DB85)/1000</f>
        <v>0</v>
      </c>
      <c r="DC88" s="277">
        <f>(DC82*DC85)/1000</f>
        <v>0</v>
      </c>
    </row>
    <row r="89" spans="2:107" ht="15" hidden="1" customHeight="1" x14ac:dyDescent="0.25">
      <c r="B89" s="259">
        <v>48</v>
      </c>
      <c r="C89" s="264" t="s">
        <v>4260</v>
      </c>
      <c r="D89" s="264"/>
      <c r="E89" s="265" t="s">
        <v>3912</v>
      </c>
      <c r="F89" s="276" t="s">
        <v>4267</v>
      </c>
      <c r="G89" s="278">
        <f>IF(OR(G39=0,G88=0),0,(G88-G39)/G39)</f>
        <v>0</v>
      </c>
      <c r="H89" s="279">
        <f t="shared" ref="H89:Y89" si="93">IF(OR(H44=0,H88=0),0,(H88-H44)/H44)</f>
        <v>0</v>
      </c>
      <c r="I89" s="279">
        <f t="shared" si="93"/>
        <v>0</v>
      </c>
      <c r="J89" s="279">
        <f t="shared" si="93"/>
        <v>0</v>
      </c>
      <c r="K89" s="279">
        <f t="shared" si="93"/>
        <v>0</v>
      </c>
      <c r="L89" s="279">
        <f t="shared" si="93"/>
        <v>0</v>
      </c>
      <c r="M89" s="279">
        <f t="shared" si="93"/>
        <v>0</v>
      </c>
      <c r="N89" s="279">
        <f t="shared" si="93"/>
        <v>0</v>
      </c>
      <c r="O89" s="279">
        <f t="shared" si="93"/>
        <v>0</v>
      </c>
      <c r="P89" s="279">
        <f t="shared" si="93"/>
        <v>0</v>
      </c>
      <c r="Q89" s="279">
        <f t="shared" si="93"/>
        <v>0</v>
      </c>
      <c r="R89" s="279">
        <f t="shared" si="93"/>
        <v>0</v>
      </c>
      <c r="S89" s="279">
        <f t="shared" si="93"/>
        <v>0</v>
      </c>
      <c r="T89" s="279">
        <f t="shared" si="93"/>
        <v>0</v>
      </c>
      <c r="U89" s="279">
        <f t="shared" si="93"/>
        <v>0</v>
      </c>
      <c r="V89" s="279">
        <f t="shared" si="93"/>
        <v>0</v>
      </c>
      <c r="W89" s="279">
        <f t="shared" si="93"/>
        <v>0</v>
      </c>
      <c r="X89" s="279">
        <f t="shared" si="93"/>
        <v>0</v>
      </c>
      <c r="Y89" s="279">
        <f t="shared" si="93"/>
        <v>0</v>
      </c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  <c r="BN89" s="279"/>
      <c r="BO89" s="279"/>
      <c r="BP89" s="279"/>
      <c r="BQ89" s="279"/>
      <c r="BR89" s="279"/>
      <c r="BS89" s="279"/>
      <c r="BT89" s="279"/>
      <c r="BU89" s="279"/>
      <c r="BV89" s="279"/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79"/>
      <c r="CI89" s="279"/>
      <c r="CJ89" s="279"/>
      <c r="CK89" s="279"/>
      <c r="CL89" s="279"/>
      <c r="CM89" s="279"/>
      <c r="CN89" s="279"/>
      <c r="CO89" s="279"/>
      <c r="CP89" s="279"/>
      <c r="CQ89" s="279"/>
      <c r="CR89" s="279"/>
      <c r="CS89" s="279"/>
      <c r="CT89" s="279"/>
      <c r="CU89" s="279"/>
      <c r="CV89" s="279"/>
      <c r="CW89" s="279"/>
      <c r="CX89" s="279"/>
      <c r="CY89" s="279"/>
      <c r="CZ89" s="279"/>
      <c r="DA89" s="279"/>
      <c r="DB89" s="279">
        <f>IF(OR(DB44=0,DB88=0),0,(DB88-DB44)/DB44)</f>
        <v>0</v>
      </c>
      <c r="DC89" s="279">
        <f>IF(OR(DC44=0,DC88=0),0,(DC88-DC44)/DC44)</f>
        <v>0</v>
      </c>
    </row>
    <row r="90" spans="2:107" ht="15" hidden="1" customHeight="1" x14ac:dyDescent="0.25">
      <c r="B90" s="259">
        <v>49</v>
      </c>
      <c r="C90" s="264" t="s">
        <v>4228</v>
      </c>
      <c r="D90" s="264"/>
      <c r="E90" s="265" t="s">
        <v>3857</v>
      </c>
      <c r="F90" s="276" t="s">
        <v>4241</v>
      </c>
      <c r="G90" s="271">
        <f>SUM(H90:DC90)</f>
        <v>0</v>
      </c>
      <c r="H90" s="277">
        <f t="shared" ref="H90:Y90" si="94">H79*H87</f>
        <v>0</v>
      </c>
      <c r="I90" s="277">
        <f t="shared" si="94"/>
        <v>0</v>
      </c>
      <c r="J90" s="277">
        <f t="shared" si="94"/>
        <v>0</v>
      </c>
      <c r="K90" s="277">
        <f t="shared" si="94"/>
        <v>0</v>
      </c>
      <c r="L90" s="277">
        <f t="shared" si="94"/>
        <v>0</v>
      </c>
      <c r="M90" s="277">
        <f t="shared" si="94"/>
        <v>0</v>
      </c>
      <c r="N90" s="277">
        <f t="shared" si="94"/>
        <v>0</v>
      </c>
      <c r="O90" s="277">
        <f t="shared" si="94"/>
        <v>0</v>
      </c>
      <c r="P90" s="277">
        <f t="shared" si="94"/>
        <v>0</v>
      </c>
      <c r="Q90" s="277">
        <f t="shared" si="94"/>
        <v>0</v>
      </c>
      <c r="R90" s="277">
        <f t="shared" si="94"/>
        <v>0</v>
      </c>
      <c r="S90" s="277">
        <f t="shared" si="94"/>
        <v>0</v>
      </c>
      <c r="T90" s="277">
        <f t="shared" si="94"/>
        <v>0</v>
      </c>
      <c r="U90" s="277">
        <f t="shared" si="94"/>
        <v>0</v>
      </c>
      <c r="V90" s="277">
        <f t="shared" si="94"/>
        <v>0</v>
      </c>
      <c r="W90" s="277">
        <f t="shared" si="94"/>
        <v>0</v>
      </c>
      <c r="X90" s="277">
        <f t="shared" si="94"/>
        <v>0</v>
      </c>
      <c r="Y90" s="277">
        <f t="shared" si="94"/>
        <v>0</v>
      </c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7"/>
      <c r="DB90" s="277">
        <f>DB79*DB87</f>
        <v>0</v>
      </c>
      <c r="DC90" s="277">
        <f>DC79*DC87</f>
        <v>0</v>
      </c>
    </row>
    <row r="91" spans="2:107" ht="15" hidden="1" customHeight="1" x14ac:dyDescent="0.25">
      <c r="B91" s="259">
        <v>50</v>
      </c>
      <c r="C91" s="264" t="s">
        <v>4262</v>
      </c>
      <c r="D91" s="264"/>
      <c r="E91" s="265" t="s">
        <v>3912</v>
      </c>
      <c r="F91" s="276" t="s">
        <v>4268</v>
      </c>
      <c r="G91" s="278">
        <f>IF(OR(G40=0,G90=0),0,(G90-G40)/G40)</f>
        <v>0</v>
      </c>
      <c r="H91" s="279">
        <f t="shared" ref="H91:Y91" si="95">IF(OR(H45=0,H90=0),0,(H90-H45)/H45)</f>
        <v>0</v>
      </c>
      <c r="I91" s="279">
        <f t="shared" si="95"/>
        <v>0</v>
      </c>
      <c r="J91" s="279">
        <f t="shared" si="95"/>
        <v>0</v>
      </c>
      <c r="K91" s="279">
        <f t="shared" si="95"/>
        <v>0</v>
      </c>
      <c r="L91" s="279">
        <f t="shared" si="95"/>
        <v>0</v>
      </c>
      <c r="M91" s="279">
        <f t="shared" si="95"/>
        <v>0</v>
      </c>
      <c r="N91" s="279">
        <f t="shared" si="95"/>
        <v>0</v>
      </c>
      <c r="O91" s="279">
        <f t="shared" si="95"/>
        <v>0</v>
      </c>
      <c r="P91" s="279">
        <f t="shared" si="95"/>
        <v>0</v>
      </c>
      <c r="Q91" s="279">
        <f t="shared" si="95"/>
        <v>0</v>
      </c>
      <c r="R91" s="279">
        <f t="shared" si="95"/>
        <v>0</v>
      </c>
      <c r="S91" s="279">
        <f t="shared" si="95"/>
        <v>0</v>
      </c>
      <c r="T91" s="279">
        <f t="shared" si="95"/>
        <v>0</v>
      </c>
      <c r="U91" s="279">
        <f t="shared" si="95"/>
        <v>0</v>
      </c>
      <c r="V91" s="279">
        <f t="shared" si="95"/>
        <v>0</v>
      </c>
      <c r="W91" s="279">
        <f t="shared" si="95"/>
        <v>0</v>
      </c>
      <c r="X91" s="279">
        <f t="shared" si="95"/>
        <v>0</v>
      </c>
      <c r="Y91" s="279">
        <f t="shared" si="95"/>
        <v>0</v>
      </c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79"/>
      <c r="BR91" s="279"/>
      <c r="BS91" s="279"/>
      <c r="BT91" s="279"/>
      <c r="BU91" s="279"/>
      <c r="BV91" s="279"/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79"/>
      <c r="CI91" s="279"/>
      <c r="CJ91" s="279"/>
      <c r="CK91" s="279"/>
      <c r="CL91" s="279"/>
      <c r="CM91" s="279"/>
      <c r="CN91" s="279"/>
      <c r="CO91" s="279"/>
      <c r="CP91" s="279"/>
      <c r="CQ91" s="279"/>
      <c r="CR91" s="279"/>
      <c r="CS91" s="279"/>
      <c r="CT91" s="279"/>
      <c r="CU91" s="279"/>
      <c r="CV91" s="279"/>
      <c r="CW91" s="279"/>
      <c r="CX91" s="279"/>
      <c r="CY91" s="279"/>
      <c r="CZ91" s="279"/>
      <c r="DA91" s="279"/>
      <c r="DB91" s="279">
        <f>IF(OR(DB45=0,DB90=0),0,(DB90-DB45)/DB45)</f>
        <v>0</v>
      </c>
      <c r="DC91" s="279">
        <f>IF(OR(DC45=0,DC90=0),0,(DC90-DC45)/DC45)</f>
        <v>0</v>
      </c>
    </row>
    <row r="92" spans="2:107" hidden="1" x14ac:dyDescent="0.25"/>
    <row r="93" spans="2:107" ht="15" hidden="1" customHeight="1" x14ac:dyDescent="0.25">
      <c r="B93" s="858" t="s">
        <v>4977</v>
      </c>
      <c r="C93" s="859"/>
      <c r="D93" s="859"/>
      <c r="E93" s="859"/>
      <c r="F93" s="859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8"/>
      <c r="CA93" s="258"/>
      <c r="CB93" s="258"/>
      <c r="CC93" s="258"/>
      <c r="CD93" s="258"/>
      <c r="CE93" s="258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58"/>
    </row>
    <row r="94" spans="2:107" s="103" customFormat="1" ht="15" hidden="1" customHeight="1" x14ac:dyDescent="0.25">
      <c r="B94" s="259"/>
      <c r="C94" s="260"/>
      <c r="D94" s="260"/>
      <c r="E94" s="260"/>
      <c r="F94" s="261"/>
      <c r="G94" s="262" t="s">
        <v>76</v>
      </c>
      <c r="H94" s="263" t="s">
        <v>4866</v>
      </c>
      <c r="I94" s="263" t="s">
        <v>4867</v>
      </c>
      <c r="J94" s="263" t="s">
        <v>4868</v>
      </c>
      <c r="K94" s="263" t="s">
        <v>4869</v>
      </c>
      <c r="L94" s="263" t="s">
        <v>4870</v>
      </c>
      <c r="M94" s="263" t="s">
        <v>4871</v>
      </c>
      <c r="N94" s="263" t="s">
        <v>4872</v>
      </c>
      <c r="O94" s="263" t="s">
        <v>4873</v>
      </c>
      <c r="P94" s="263" t="s">
        <v>4874</v>
      </c>
      <c r="Q94" s="263" t="s">
        <v>4875</v>
      </c>
      <c r="R94" s="263" t="s">
        <v>4876</v>
      </c>
      <c r="S94" s="263" t="s">
        <v>4877</v>
      </c>
      <c r="T94" s="263" t="s">
        <v>4878</v>
      </c>
      <c r="U94" s="263" t="s">
        <v>4879</v>
      </c>
      <c r="V94" s="263" t="s">
        <v>4880</v>
      </c>
      <c r="W94" s="263" t="s">
        <v>4881</v>
      </c>
      <c r="X94" s="263" t="s">
        <v>4882</v>
      </c>
      <c r="Y94" s="263" t="s">
        <v>4883</v>
      </c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 t="s">
        <v>4884</v>
      </c>
      <c r="DC94" s="263" t="s">
        <v>4885</v>
      </c>
    </row>
    <row r="95" spans="2:107" ht="15" hidden="1" customHeight="1" x14ac:dyDescent="0.25">
      <c r="B95" s="259">
        <v>51</v>
      </c>
      <c r="C95" s="280" t="s">
        <v>3901</v>
      </c>
      <c r="D95" s="280"/>
      <c r="E95" s="551" t="s">
        <v>3857</v>
      </c>
      <c r="F95" s="276" t="s">
        <v>4243</v>
      </c>
      <c r="G95" s="271">
        <f>SUM(H95:DC95)</f>
        <v>0</v>
      </c>
      <c r="H95" s="272">
        <f t="shared" ref="H95:Y95" si="96">H71-H90</f>
        <v>0</v>
      </c>
      <c r="I95" s="272">
        <f t="shared" si="96"/>
        <v>0</v>
      </c>
      <c r="J95" s="272">
        <f t="shared" si="96"/>
        <v>0</v>
      </c>
      <c r="K95" s="272">
        <f t="shared" si="96"/>
        <v>0</v>
      </c>
      <c r="L95" s="272">
        <f t="shared" si="96"/>
        <v>0</v>
      </c>
      <c r="M95" s="272">
        <f t="shared" si="96"/>
        <v>0</v>
      </c>
      <c r="N95" s="272">
        <f t="shared" si="96"/>
        <v>0</v>
      </c>
      <c r="O95" s="272">
        <f t="shared" si="96"/>
        <v>0</v>
      </c>
      <c r="P95" s="272">
        <f t="shared" si="96"/>
        <v>0</v>
      </c>
      <c r="Q95" s="272">
        <f t="shared" si="96"/>
        <v>0</v>
      </c>
      <c r="R95" s="272">
        <f t="shared" si="96"/>
        <v>0</v>
      </c>
      <c r="S95" s="272">
        <f t="shared" si="96"/>
        <v>0</v>
      </c>
      <c r="T95" s="272">
        <f t="shared" si="96"/>
        <v>0</v>
      </c>
      <c r="U95" s="272">
        <f t="shared" si="96"/>
        <v>0</v>
      </c>
      <c r="V95" s="272">
        <f t="shared" si="96"/>
        <v>0</v>
      </c>
      <c r="W95" s="272">
        <f t="shared" si="96"/>
        <v>0</v>
      </c>
      <c r="X95" s="272">
        <f t="shared" si="96"/>
        <v>0</v>
      </c>
      <c r="Y95" s="272">
        <f t="shared" si="96"/>
        <v>0</v>
      </c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>
        <f>DB71-DB90</f>
        <v>0</v>
      </c>
      <c r="DC95" s="272">
        <f>DC71-DC90</f>
        <v>0</v>
      </c>
    </row>
    <row r="96" spans="2:107" ht="15" hidden="1" customHeight="1" x14ac:dyDescent="0.25">
      <c r="B96" s="259">
        <v>52</v>
      </c>
      <c r="C96" s="281" t="s">
        <v>4244</v>
      </c>
      <c r="D96" s="282">
        <f>D45</f>
        <v>0</v>
      </c>
      <c r="E96" s="552" t="s">
        <v>3912</v>
      </c>
      <c r="F96" s="276" t="s">
        <v>4245</v>
      </c>
      <c r="G96" s="278">
        <f t="shared" ref="G96:Y96" si="97">IF(G71=0,0,G95/G71)</f>
        <v>0</v>
      </c>
      <c r="H96" s="279">
        <f t="shared" si="97"/>
        <v>0</v>
      </c>
      <c r="I96" s="279">
        <f t="shared" si="97"/>
        <v>0</v>
      </c>
      <c r="J96" s="279">
        <f t="shared" si="97"/>
        <v>0</v>
      </c>
      <c r="K96" s="279">
        <f t="shared" si="97"/>
        <v>0</v>
      </c>
      <c r="L96" s="279">
        <f t="shared" si="97"/>
        <v>0</v>
      </c>
      <c r="M96" s="279">
        <f t="shared" si="97"/>
        <v>0</v>
      </c>
      <c r="N96" s="279">
        <f t="shared" si="97"/>
        <v>0</v>
      </c>
      <c r="O96" s="279">
        <f t="shared" si="97"/>
        <v>0</v>
      </c>
      <c r="P96" s="279">
        <f t="shared" si="97"/>
        <v>0</v>
      </c>
      <c r="Q96" s="279">
        <f t="shared" si="97"/>
        <v>0</v>
      </c>
      <c r="R96" s="279">
        <f t="shared" si="97"/>
        <v>0</v>
      </c>
      <c r="S96" s="279">
        <f t="shared" si="97"/>
        <v>0</v>
      </c>
      <c r="T96" s="279">
        <f t="shared" si="97"/>
        <v>0</v>
      </c>
      <c r="U96" s="279">
        <f t="shared" si="97"/>
        <v>0</v>
      </c>
      <c r="V96" s="279">
        <f t="shared" si="97"/>
        <v>0</v>
      </c>
      <c r="W96" s="279">
        <f t="shared" si="97"/>
        <v>0</v>
      </c>
      <c r="X96" s="279">
        <f t="shared" si="97"/>
        <v>0</v>
      </c>
      <c r="Y96" s="279">
        <f t="shared" si="97"/>
        <v>0</v>
      </c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  <c r="BT96" s="279"/>
      <c r="BU96" s="279"/>
      <c r="BV96" s="279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79"/>
      <c r="CI96" s="279"/>
      <c r="CJ96" s="279"/>
      <c r="CK96" s="279"/>
      <c r="CL96" s="279"/>
      <c r="CM96" s="279"/>
      <c r="CN96" s="279"/>
      <c r="CO96" s="279"/>
      <c r="CP96" s="279"/>
      <c r="CQ96" s="279"/>
      <c r="CR96" s="279"/>
      <c r="CS96" s="279"/>
      <c r="CT96" s="279"/>
      <c r="CU96" s="279"/>
      <c r="CV96" s="279"/>
      <c r="CW96" s="279"/>
      <c r="CX96" s="279"/>
      <c r="CY96" s="279"/>
      <c r="CZ96" s="279"/>
      <c r="DA96" s="279"/>
      <c r="DB96" s="279">
        <f>IF(DB71=0,0,DB95/DB71)</f>
        <v>0</v>
      </c>
      <c r="DC96" s="279">
        <f>IF(DC71=0,0,DC95/DC71)</f>
        <v>0</v>
      </c>
    </row>
    <row r="97" spans="2:107" ht="15" hidden="1" customHeight="1" x14ac:dyDescent="0.25">
      <c r="B97" s="259">
        <v>53</v>
      </c>
      <c r="C97" s="280" t="s">
        <v>3900</v>
      </c>
      <c r="D97" s="280"/>
      <c r="E97" s="551" t="s">
        <v>3854</v>
      </c>
      <c r="F97" s="276" t="s">
        <v>4246</v>
      </c>
      <c r="G97" s="271">
        <f>SUM(H97:DC97)</f>
        <v>0</v>
      </c>
      <c r="H97" s="272">
        <f t="shared" ref="H97:Y97" si="98">H69-H88</f>
        <v>0</v>
      </c>
      <c r="I97" s="272">
        <f t="shared" si="98"/>
        <v>0</v>
      </c>
      <c r="J97" s="272">
        <f t="shared" si="98"/>
        <v>0</v>
      </c>
      <c r="K97" s="272">
        <f t="shared" si="98"/>
        <v>0</v>
      </c>
      <c r="L97" s="272">
        <f t="shared" si="98"/>
        <v>0</v>
      </c>
      <c r="M97" s="272">
        <f t="shared" si="98"/>
        <v>0</v>
      </c>
      <c r="N97" s="272">
        <f t="shared" si="98"/>
        <v>0</v>
      </c>
      <c r="O97" s="272">
        <f t="shared" si="98"/>
        <v>0</v>
      </c>
      <c r="P97" s="272">
        <f t="shared" si="98"/>
        <v>0</v>
      </c>
      <c r="Q97" s="272">
        <f t="shared" si="98"/>
        <v>0</v>
      </c>
      <c r="R97" s="272">
        <f t="shared" si="98"/>
        <v>0</v>
      </c>
      <c r="S97" s="272">
        <f t="shared" si="98"/>
        <v>0</v>
      </c>
      <c r="T97" s="272">
        <f t="shared" si="98"/>
        <v>0</v>
      </c>
      <c r="U97" s="272">
        <f t="shared" si="98"/>
        <v>0</v>
      </c>
      <c r="V97" s="272">
        <f t="shared" si="98"/>
        <v>0</v>
      </c>
      <c r="W97" s="272">
        <f t="shared" si="98"/>
        <v>0</v>
      </c>
      <c r="X97" s="272">
        <f t="shared" si="98"/>
        <v>0</v>
      </c>
      <c r="Y97" s="272">
        <f t="shared" si="98"/>
        <v>0</v>
      </c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>
        <f>DB69-DB88</f>
        <v>0</v>
      </c>
      <c r="DC97" s="272">
        <f>DC69-DC88</f>
        <v>0</v>
      </c>
    </row>
    <row r="98" spans="2:107" ht="15" hidden="1" customHeight="1" x14ac:dyDescent="0.25">
      <c r="B98" s="259">
        <v>54</v>
      </c>
      <c r="C98" s="281" t="s">
        <v>4247</v>
      </c>
      <c r="D98" s="282">
        <f>D47</f>
        <v>0</v>
      </c>
      <c r="E98" s="552" t="s">
        <v>3912</v>
      </c>
      <c r="F98" s="276" t="s">
        <v>4248</v>
      </c>
      <c r="G98" s="283">
        <f t="shared" ref="G98:Y98" si="99">IF(G69=0,0,G97/G69)</f>
        <v>0</v>
      </c>
      <c r="H98" s="279">
        <f t="shared" si="99"/>
        <v>0</v>
      </c>
      <c r="I98" s="279">
        <f t="shared" si="99"/>
        <v>0</v>
      </c>
      <c r="J98" s="279">
        <f t="shared" si="99"/>
        <v>0</v>
      </c>
      <c r="K98" s="279">
        <f t="shared" si="99"/>
        <v>0</v>
      </c>
      <c r="L98" s="279">
        <f t="shared" si="99"/>
        <v>0</v>
      </c>
      <c r="M98" s="279">
        <f t="shared" si="99"/>
        <v>0</v>
      </c>
      <c r="N98" s="279">
        <f t="shared" si="99"/>
        <v>0</v>
      </c>
      <c r="O98" s="279">
        <f t="shared" si="99"/>
        <v>0</v>
      </c>
      <c r="P98" s="279">
        <f t="shared" si="99"/>
        <v>0</v>
      </c>
      <c r="Q98" s="279">
        <f t="shared" si="99"/>
        <v>0</v>
      </c>
      <c r="R98" s="279">
        <f t="shared" si="99"/>
        <v>0</v>
      </c>
      <c r="S98" s="279">
        <f t="shared" si="99"/>
        <v>0</v>
      </c>
      <c r="T98" s="279">
        <f t="shared" si="99"/>
        <v>0</v>
      </c>
      <c r="U98" s="279">
        <f t="shared" si="99"/>
        <v>0</v>
      </c>
      <c r="V98" s="279">
        <f t="shared" si="99"/>
        <v>0</v>
      </c>
      <c r="W98" s="279">
        <f t="shared" si="99"/>
        <v>0</v>
      </c>
      <c r="X98" s="279">
        <f t="shared" si="99"/>
        <v>0</v>
      </c>
      <c r="Y98" s="279">
        <f t="shared" si="99"/>
        <v>0</v>
      </c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79"/>
      <c r="BU98" s="279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>
        <f>IF(DB69=0,0,DB97/DB69)</f>
        <v>0</v>
      </c>
      <c r="DC98" s="279">
        <f>IF(DC69=0,0,DC97/DC69)</f>
        <v>0</v>
      </c>
    </row>
    <row r="99" spans="2:107" ht="15" hidden="1" customHeight="1" x14ac:dyDescent="0.25">
      <c r="B99" s="284"/>
      <c r="C99" s="285" t="s">
        <v>4978</v>
      </c>
      <c r="D99" s="285"/>
      <c r="E99" s="537" t="s">
        <v>3911</v>
      </c>
      <c r="F99" s="286" t="s">
        <v>4970</v>
      </c>
      <c r="G99" s="287">
        <f>SUM(H99:DC99)</f>
        <v>0</v>
      </c>
      <c r="H99" s="288">
        <f t="shared" ref="H99:Y99" si="100">H95*$D$96+H97*$D$98</f>
        <v>0</v>
      </c>
      <c r="I99" s="288">
        <f t="shared" si="100"/>
        <v>0</v>
      </c>
      <c r="J99" s="288">
        <f t="shared" si="100"/>
        <v>0</v>
      </c>
      <c r="K99" s="288">
        <f t="shared" si="100"/>
        <v>0</v>
      </c>
      <c r="L99" s="288">
        <f t="shared" si="100"/>
        <v>0</v>
      </c>
      <c r="M99" s="288">
        <f t="shared" si="100"/>
        <v>0</v>
      </c>
      <c r="N99" s="288">
        <f t="shared" si="100"/>
        <v>0</v>
      </c>
      <c r="O99" s="288">
        <f t="shared" si="100"/>
        <v>0</v>
      </c>
      <c r="P99" s="288">
        <f t="shared" si="100"/>
        <v>0</v>
      </c>
      <c r="Q99" s="288">
        <f t="shared" si="100"/>
        <v>0</v>
      </c>
      <c r="R99" s="288">
        <f t="shared" si="100"/>
        <v>0</v>
      </c>
      <c r="S99" s="288">
        <f t="shared" si="100"/>
        <v>0</v>
      </c>
      <c r="T99" s="288">
        <f t="shared" si="100"/>
        <v>0</v>
      </c>
      <c r="U99" s="288">
        <f t="shared" si="100"/>
        <v>0</v>
      </c>
      <c r="V99" s="288">
        <f t="shared" si="100"/>
        <v>0</v>
      </c>
      <c r="W99" s="288">
        <f t="shared" si="100"/>
        <v>0</v>
      </c>
      <c r="X99" s="288">
        <f t="shared" si="100"/>
        <v>0</v>
      </c>
      <c r="Y99" s="288">
        <f t="shared" si="100"/>
        <v>0</v>
      </c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8"/>
      <c r="CI99" s="288"/>
      <c r="CJ99" s="288"/>
      <c r="CK99" s="288"/>
      <c r="CL99" s="288"/>
      <c r="CM99" s="288"/>
      <c r="CN99" s="288"/>
      <c r="CO99" s="288"/>
      <c r="CP99" s="288"/>
      <c r="CQ99" s="288"/>
      <c r="CR99" s="288"/>
      <c r="CS99" s="288"/>
      <c r="CT99" s="288"/>
      <c r="CU99" s="288"/>
      <c r="CV99" s="288"/>
      <c r="CW99" s="288"/>
      <c r="CX99" s="288"/>
      <c r="CY99" s="288"/>
      <c r="CZ99" s="288"/>
      <c r="DA99" s="288"/>
      <c r="DB99" s="288">
        <f>DB95*$D$96+DB97*$D$98</f>
        <v>0</v>
      </c>
      <c r="DC99" s="288">
        <f>DC95*$D$96+DC97*$D$98</f>
        <v>0</v>
      </c>
    </row>
    <row r="100" spans="2:107" ht="15" hidden="1" customHeight="1" x14ac:dyDescent="0.25">
      <c r="H100" s="289"/>
      <c r="I100" s="289"/>
    </row>
    <row r="101" spans="2:107" ht="15" hidden="1" customHeight="1" x14ac:dyDescent="0.35">
      <c r="E101" s="213" t="s">
        <v>4855</v>
      </c>
      <c r="F101" s="214"/>
      <c r="G101" s="215">
        <f>RCB!$G$36</f>
        <v>0</v>
      </c>
      <c r="H101" s="289"/>
      <c r="I101" s="213" t="s">
        <v>4856</v>
      </c>
      <c r="J101" s="214"/>
      <c r="K101" s="215">
        <f>RCB!$J$36</f>
        <v>0</v>
      </c>
    </row>
    <row r="102" spans="2:107" ht="15" hidden="1" customHeight="1" x14ac:dyDescent="0.35">
      <c r="E102" s="213" t="s">
        <v>4074</v>
      </c>
      <c r="F102" s="214"/>
      <c r="G102" s="215">
        <f>RCB!$H$30</f>
        <v>0</v>
      </c>
      <c r="H102" s="289"/>
      <c r="I102" s="213" t="s">
        <v>4075</v>
      </c>
      <c r="J102" s="214"/>
      <c r="K102" s="215">
        <f>RCB!$K$30</f>
        <v>0</v>
      </c>
    </row>
    <row r="103" spans="2:107" ht="15" hidden="1" customHeight="1" x14ac:dyDescent="0.25">
      <c r="H103" s="289"/>
      <c r="I103" s="289"/>
    </row>
  </sheetData>
  <sheetProtection algorithmName="SHA-512" hashValue="knnqKxSzkbld++bi0ifYqiExPPRDTuzt4KJq39gk9gCq7yq8hdyM2KJn6sYQuBR1EYBmCTQdf/myylMhS/xGAg==" saltValue="3szqnhhPRcpdu70lN9+qWg==" spinCount="100000" sheet="1" objects="1" scenarios="1"/>
  <mergeCells count="20">
    <mergeCell ref="B34:B38"/>
    <mergeCell ref="B42:F42"/>
    <mergeCell ref="B55:F55"/>
    <mergeCell ref="B64:B66"/>
    <mergeCell ref="B2:F2"/>
    <mergeCell ref="B11:B13"/>
    <mergeCell ref="B14:B18"/>
    <mergeCell ref="B22:F22"/>
    <mergeCell ref="B31:B33"/>
    <mergeCell ref="B9:B10"/>
    <mergeCell ref="B29:B30"/>
    <mergeCell ref="B86:B87"/>
    <mergeCell ref="B93:F93"/>
    <mergeCell ref="B78:B79"/>
    <mergeCell ref="B80:B82"/>
    <mergeCell ref="B59:B60"/>
    <mergeCell ref="B61:B63"/>
    <mergeCell ref="B74:F74"/>
    <mergeCell ref="B83:B85"/>
    <mergeCell ref="B67:B68"/>
  </mergeCells>
  <conditionalFormatting sqref="G5:G20 G25:G40 G57:G72 G76:G91 G95:G99">
    <cfRule type="expression" dxfId="17" priority="14">
      <formula>G5="ERRO"</formula>
    </cfRule>
  </conditionalFormatting>
  <conditionalFormatting sqref="G44:G50">
    <cfRule type="expression" dxfId="16" priority="1">
      <formula>G44="ERRO"</formula>
    </cfRule>
  </conditionalFormatting>
  <conditionalFormatting sqref="H9:DC9 H18:DC18 H29:DC29 H38:DC38 H68:DC68 H87:DC87">
    <cfRule type="expression" dxfId="15" priority="13">
      <formula>OR(H9&gt;1,H9&lt;0)</formula>
    </cfRule>
  </conditionalFormatting>
  <conditionalFormatting sqref="H11:DC12 H64:DC65 H83:DC84">
    <cfRule type="expression" dxfId="14" priority="11">
      <formula>OR(H11&gt;365,H11&lt;0)</formula>
    </cfRule>
  </conditionalFormatting>
  <conditionalFormatting sqref="H13:DC13 H66:DC66 H85:DC85">
    <cfRule type="expression" dxfId="13" priority="10">
      <formula>OR(H13&gt;8760,H13&lt;0)</formula>
    </cfRule>
  </conditionalFormatting>
  <conditionalFormatting sqref="H14:DC15">
    <cfRule type="expression" dxfId="12" priority="8">
      <formula>OR(H14&gt;22,H14&lt;0)</formula>
    </cfRule>
  </conditionalFormatting>
  <conditionalFormatting sqref="H16:DC16">
    <cfRule type="expression" dxfId="11" priority="7">
      <formula>OR(H16&gt;12,H16&lt;0)</formula>
    </cfRule>
  </conditionalFormatting>
  <dataValidations count="1">
    <dataValidation type="decimal" allowBlank="1" showInputMessage="1" showErrorMessage="1" sqref="D45 D47" xr:uid="{00000000-0002-0000-1D00-000000000000}">
      <formula1>0</formula1>
      <formula2>10000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ignoredErrors>
    <ignoredError sqref="A10:F10 A46:F46 A45:C45 E45:F45 A51:F95 A47:C47 E47:F47 A97:F97 A96:C96 E96:F96 A98:C98 E98:F98 A48:F48 DD25:IV48 DB51:IV65536 DB1:DC1 I14:Y16 H28:Y28 I11:Y12 H13:Y13 A99:Y65536 H37:Y48 H51:Y98 H10:Y10 A1:Y3 DD1:IV3 C8:Y8 A5:A9 C9:F9 A12:F13 A11 C11:F11 A15:F18 A14 C14:F14 A30:F30 A19:A20 C19:F20 A21:F23 H17:Y23 DD5:IV23 A25 C25:F25 A26 C26:F26 A27 C27:F27 A28 C28:F28 A29 C29:F29 A32:F33 A31 C31:F31 A35:F38 A34 C34:D34 A41:F44 A39 C39:F39 A40 C40:F40 F34 C5:G5 I5:Y5 C6:G6 I6:Y6 C7:G7 I7:Y7 I9:Y9 I25:Y25 H30:Y30 I29:Y29 I26:Y26 H24:DC24 I31:I32 J31:DC32 I36:DC36 I27:Y27 I34:DC34 I35:DC35" unlockedFormula="1"/>
    <ignoredError sqref="G51:G98 H33:I33 G25:G43 G45 G47 G9:G23 Z33:AE33 J33:Y33 AF33:DC33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1000000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2"/>
  <dimension ref="A1:F21"/>
  <sheetViews>
    <sheetView zoomScale="205" zoomScaleNormal="205" workbookViewId="0">
      <selection activeCell="D3" sqref="D3"/>
    </sheetView>
  </sheetViews>
  <sheetFormatPr defaultRowHeight="15" x14ac:dyDescent="0.25"/>
  <cols>
    <col min="2" max="2" width="18" bestFit="1" customWidth="1"/>
    <col min="3" max="3" width="36.42578125" bestFit="1" customWidth="1"/>
    <col min="4" max="4" width="31.5703125" bestFit="1" customWidth="1"/>
  </cols>
  <sheetData>
    <row r="1" spans="1:6" x14ac:dyDescent="0.25">
      <c r="A1" t="s">
        <v>3822</v>
      </c>
      <c r="B1" t="s">
        <v>5076</v>
      </c>
      <c r="C1" t="s">
        <v>5110</v>
      </c>
      <c r="D1" s="586" t="s">
        <v>5109</v>
      </c>
      <c r="E1" t="s">
        <v>5106</v>
      </c>
      <c r="F1" t="s">
        <v>3802</v>
      </c>
    </row>
    <row r="2" spans="1:6" x14ac:dyDescent="0.25">
      <c r="A2">
        <f>UCs!$E2</f>
        <v>0</v>
      </c>
      <c r="B2" s="487">
        <f>UCs!$E41</f>
        <v>75</v>
      </c>
      <c r="C2" s="575">
        <f>UCs!$E42</f>
        <v>0</v>
      </c>
      <c r="D2" s="575">
        <f>UCs!$E45</f>
        <v>0</v>
      </c>
      <c r="E2" s="575">
        <f>UCs!$E4</f>
        <v>0</v>
      </c>
      <c r="F2">
        <f>VLOOKUP($E2,Referências!$T$2:$U$7,2,FALSE)</f>
        <v>0</v>
      </c>
    </row>
    <row r="3" spans="1:6" x14ac:dyDescent="0.25">
      <c r="A3">
        <f>UCs!$J2</f>
        <v>0</v>
      </c>
      <c r="B3" s="575">
        <f>UCs!$J41</f>
        <v>75</v>
      </c>
      <c r="C3" s="575">
        <f>UCs!$J42</f>
        <v>0</v>
      </c>
      <c r="D3" s="575">
        <f>UCs!$J45</f>
        <v>0</v>
      </c>
      <c r="E3" s="575">
        <f>UCs!$J4</f>
        <v>0</v>
      </c>
      <c r="F3">
        <f>VLOOKUP($E3,Referências!$T$2:$U$7,2,FALSE)</f>
        <v>0</v>
      </c>
    </row>
    <row r="4" spans="1:6" x14ac:dyDescent="0.25">
      <c r="A4">
        <f>UCs!$O2</f>
        <v>0</v>
      </c>
      <c r="B4" s="575">
        <f>UCs!$O41</f>
        <v>75</v>
      </c>
      <c r="C4" s="575">
        <f>UCs!$O42</f>
        <v>0</v>
      </c>
      <c r="D4" s="575">
        <f>UCs!$O45</f>
        <v>0</v>
      </c>
      <c r="E4" s="575">
        <f>UCs!$O4</f>
        <v>0</v>
      </c>
      <c r="F4">
        <f>VLOOKUP($E4,Referências!$T$2:$U$7,2,FALSE)</f>
        <v>0</v>
      </c>
    </row>
    <row r="5" spans="1:6" x14ac:dyDescent="0.25">
      <c r="A5">
        <f>UCs!$T2</f>
        <v>0</v>
      </c>
      <c r="B5" s="575">
        <f>UCs!$T41</f>
        <v>75</v>
      </c>
      <c r="C5" s="575">
        <f>UCs!$T42</f>
        <v>0</v>
      </c>
      <c r="D5" s="575">
        <f>UCs!$T45</f>
        <v>0</v>
      </c>
      <c r="E5" s="575">
        <f>UCs!$T4</f>
        <v>0</v>
      </c>
      <c r="F5">
        <f>VLOOKUP($E5,Referências!$T$2:$U$7,2,FALSE)</f>
        <v>0</v>
      </c>
    </row>
    <row r="6" spans="1:6" x14ac:dyDescent="0.25">
      <c r="A6">
        <f>UCs!$Y2</f>
        <v>0</v>
      </c>
      <c r="B6" s="575">
        <f>UCs!$Y41</f>
        <v>75</v>
      </c>
      <c r="C6" s="575">
        <f>UCs!$Y42</f>
        <v>0</v>
      </c>
      <c r="D6" s="575">
        <f>UCs!$Y45</f>
        <v>0</v>
      </c>
      <c r="E6" s="575">
        <f>UCs!$Y4</f>
        <v>0</v>
      </c>
      <c r="F6">
        <f>VLOOKUP($E6,Referências!$T$2:$U$7,2,FALSE)</f>
        <v>0</v>
      </c>
    </row>
    <row r="7" spans="1:6" x14ac:dyDescent="0.25">
      <c r="A7">
        <f>UCs!$AD2</f>
        <v>0</v>
      </c>
      <c r="B7" s="575">
        <f>UCs!$AD41</f>
        <v>75</v>
      </c>
      <c r="C7" s="575">
        <f>UCs!$AD42</f>
        <v>0</v>
      </c>
      <c r="D7" s="575">
        <f>UCs!$AD45</f>
        <v>0</v>
      </c>
      <c r="E7" s="575">
        <f>UCs!$AD4</f>
        <v>0</v>
      </c>
      <c r="F7">
        <f>VLOOKUP($E7,Referências!$T$2:$U$7,2,FALSE)</f>
        <v>0</v>
      </c>
    </row>
    <row r="8" spans="1:6" x14ac:dyDescent="0.25">
      <c r="A8">
        <f>UCs!$AI2</f>
        <v>0</v>
      </c>
      <c r="B8" s="575">
        <f>UCs!$AI41</f>
        <v>75</v>
      </c>
      <c r="C8" s="575">
        <f>UCs!$AI42</f>
        <v>0</v>
      </c>
      <c r="D8" s="575">
        <f>UCs!$AI45</f>
        <v>0</v>
      </c>
      <c r="E8" s="575">
        <f>UCs!$AI4</f>
        <v>0</v>
      </c>
      <c r="F8">
        <f>VLOOKUP($E8,Referências!$T$2:$U$7,2,FALSE)</f>
        <v>0</v>
      </c>
    </row>
    <row r="9" spans="1:6" x14ac:dyDescent="0.25">
      <c r="A9">
        <f>UCs!$AN2</f>
        <v>0</v>
      </c>
      <c r="B9" s="575">
        <f>UCs!$AN41</f>
        <v>75</v>
      </c>
      <c r="C9" s="575">
        <f>UCs!$AN42</f>
        <v>0</v>
      </c>
      <c r="D9" s="575">
        <f>UCs!$AN45</f>
        <v>0</v>
      </c>
      <c r="E9" s="575">
        <f>UCs!$AN4</f>
        <v>0</v>
      </c>
      <c r="F9">
        <f>VLOOKUP($E9,Referências!$T$2:$U$7,2,FALSE)</f>
        <v>0</v>
      </c>
    </row>
    <row r="10" spans="1:6" x14ac:dyDescent="0.25">
      <c r="A10">
        <f>UCs!$AS2</f>
        <v>0</v>
      </c>
      <c r="B10" s="575">
        <f>UCs!$AS41</f>
        <v>75</v>
      </c>
      <c r="C10" s="575">
        <f>UCs!$AS42</f>
        <v>0</v>
      </c>
      <c r="D10" s="575">
        <f>UCs!$AS45</f>
        <v>0</v>
      </c>
      <c r="E10" s="575">
        <f>UCs!$AS4</f>
        <v>0</v>
      </c>
      <c r="F10">
        <f>VLOOKUP($E10,Referências!$T$2:$U$7,2,FALSE)</f>
        <v>0</v>
      </c>
    </row>
    <row r="11" spans="1:6" x14ac:dyDescent="0.25">
      <c r="A11">
        <f>UCs!$AX2</f>
        <v>0</v>
      </c>
      <c r="B11" s="575">
        <f>UCs!$AX41</f>
        <v>75</v>
      </c>
      <c r="C11" s="575">
        <f>UCs!$AX42</f>
        <v>0</v>
      </c>
      <c r="D11" s="575">
        <f>UCs!$AX45</f>
        <v>0</v>
      </c>
      <c r="E11" s="575">
        <f>UCs!$AX4</f>
        <v>0</v>
      </c>
      <c r="F11">
        <f>VLOOKUP($E11,Referências!$T$2:$U$7,2,FALSE)</f>
        <v>0</v>
      </c>
    </row>
    <row r="12" spans="1:6" x14ac:dyDescent="0.25">
      <c r="A12">
        <f>UCs!$BC2</f>
        <v>0</v>
      </c>
      <c r="B12" s="575">
        <f>UCs!$BC41</f>
        <v>75</v>
      </c>
      <c r="C12" s="575">
        <f>UCs!$BC42</f>
        <v>0</v>
      </c>
      <c r="D12" s="575">
        <f>UCs!$BC45</f>
        <v>0</v>
      </c>
      <c r="E12" s="575">
        <f>UCs!$BC4</f>
        <v>0</v>
      </c>
      <c r="F12">
        <f>VLOOKUP($E12,Referências!$T$2:$U$7,2,FALSE)</f>
        <v>0</v>
      </c>
    </row>
    <row r="13" spans="1:6" x14ac:dyDescent="0.25">
      <c r="A13">
        <f>UCs!$BH2</f>
        <v>0</v>
      </c>
      <c r="B13" s="575">
        <f>UCs!$BH41</f>
        <v>75</v>
      </c>
      <c r="C13" s="575">
        <f>UCs!$BH42</f>
        <v>0</v>
      </c>
      <c r="D13" s="575">
        <f>UCs!$BH45</f>
        <v>0</v>
      </c>
      <c r="E13" s="575">
        <f>UCs!$BH4</f>
        <v>0</v>
      </c>
      <c r="F13">
        <f>VLOOKUP($E13,Referências!$T$2:$U$7,2,FALSE)</f>
        <v>0</v>
      </c>
    </row>
    <row r="14" spans="1:6" x14ac:dyDescent="0.25">
      <c r="A14">
        <f>UCs!$BM2</f>
        <v>0</v>
      </c>
      <c r="B14" s="575">
        <f>UCs!$BM41</f>
        <v>75</v>
      </c>
      <c r="C14" s="575">
        <f>UCs!$BM42</f>
        <v>0</v>
      </c>
      <c r="D14" s="575">
        <f>UCs!$BM45</f>
        <v>0</v>
      </c>
      <c r="E14" s="575">
        <f>UCs!$BM4</f>
        <v>0</v>
      </c>
      <c r="F14">
        <f>VLOOKUP($E14,Referências!$T$2:$U$7,2,FALSE)</f>
        <v>0</v>
      </c>
    </row>
    <row r="15" spans="1:6" x14ac:dyDescent="0.25">
      <c r="A15">
        <f>UCs!$BR2</f>
        <v>0</v>
      </c>
      <c r="B15" s="575">
        <f>UCs!$BR41</f>
        <v>75</v>
      </c>
      <c r="C15" s="575">
        <f>UCs!$BR42</f>
        <v>0</v>
      </c>
      <c r="D15" s="575">
        <f>UCs!$BR45</f>
        <v>0</v>
      </c>
      <c r="E15" s="575">
        <f>UCs!$BR4</f>
        <v>0</v>
      </c>
      <c r="F15">
        <f>VLOOKUP($E15,Referências!$T$2:$U$7,2,FALSE)</f>
        <v>0</v>
      </c>
    </row>
    <row r="16" spans="1:6" x14ac:dyDescent="0.25">
      <c r="A16">
        <f>UCs!$BW2</f>
        <v>0</v>
      </c>
      <c r="B16" s="575">
        <f>UCs!$BW41</f>
        <v>75</v>
      </c>
      <c r="C16" s="575">
        <f>UCs!$BW42</f>
        <v>0</v>
      </c>
      <c r="D16" s="575">
        <f>UCs!$BW45</f>
        <v>0</v>
      </c>
      <c r="E16" s="575">
        <f>UCs!$BW4</f>
        <v>0</v>
      </c>
      <c r="F16">
        <f>VLOOKUP($E16,Referências!$T$2:$U$7,2,FALSE)</f>
        <v>0</v>
      </c>
    </row>
    <row r="17" spans="1:6" x14ac:dyDescent="0.25">
      <c r="A17">
        <f>UCs!$CB2</f>
        <v>0</v>
      </c>
      <c r="B17" s="575">
        <f>UCs!$CB41</f>
        <v>75</v>
      </c>
      <c r="C17" s="575">
        <f>UCs!$CB42</f>
        <v>0</v>
      </c>
      <c r="D17" s="575">
        <f>UCs!$CB45</f>
        <v>0</v>
      </c>
      <c r="E17" s="575">
        <f>UCs!$CB4</f>
        <v>0</v>
      </c>
      <c r="F17">
        <f>VLOOKUP($E17,Referências!$T$2:$U$7,2,FALSE)</f>
        <v>0</v>
      </c>
    </row>
    <row r="18" spans="1:6" x14ac:dyDescent="0.25">
      <c r="A18">
        <f>UCs!$CG2</f>
        <v>0</v>
      </c>
      <c r="B18" s="575">
        <f>UCs!$CG41</f>
        <v>75</v>
      </c>
      <c r="C18" s="575">
        <f>UCs!$CG42</f>
        <v>0</v>
      </c>
      <c r="D18" s="575">
        <f>UCs!$CG45</f>
        <v>0</v>
      </c>
      <c r="E18" s="575">
        <f>UCs!$CG4</f>
        <v>0</v>
      </c>
      <c r="F18">
        <f>VLOOKUP($E18,Referências!$T$2:$U$7,2,FALSE)</f>
        <v>0</v>
      </c>
    </row>
    <row r="19" spans="1:6" x14ac:dyDescent="0.25">
      <c r="A19">
        <f>UCs!$CL2</f>
        <v>0</v>
      </c>
      <c r="B19" s="575">
        <f>UCs!$CL41</f>
        <v>75</v>
      </c>
      <c r="C19" s="575">
        <f>UCs!$CL42</f>
        <v>0</v>
      </c>
      <c r="D19" s="575">
        <f>UCs!$CL45</f>
        <v>0</v>
      </c>
      <c r="E19" s="575">
        <f>UCs!$CL4</f>
        <v>0</v>
      </c>
      <c r="F19">
        <f>VLOOKUP($E19,Referências!$T$2:$U$7,2,FALSE)</f>
        <v>0</v>
      </c>
    </row>
    <row r="20" spans="1:6" x14ac:dyDescent="0.25">
      <c r="A20">
        <f>UCs!$CQ2</f>
        <v>0</v>
      </c>
      <c r="B20" s="575">
        <f>UCs!$CQ41</f>
        <v>75</v>
      </c>
      <c r="C20" s="575">
        <f>UCs!$CQ42</f>
        <v>0</v>
      </c>
      <c r="D20" s="575">
        <f>UCs!$CQ45</f>
        <v>0</v>
      </c>
      <c r="E20" s="575">
        <f>UCs!$CQ4</f>
        <v>0</v>
      </c>
      <c r="F20">
        <f>VLOOKUP($E20,Referências!$T$2:$U$7,2,FALSE)</f>
        <v>0</v>
      </c>
    </row>
    <row r="21" spans="1:6" x14ac:dyDescent="0.25">
      <c r="A21">
        <f>UCs!$CV2</f>
        <v>0</v>
      </c>
      <c r="B21" s="575">
        <f>UCs!$CV41</f>
        <v>75</v>
      </c>
      <c r="C21" s="575">
        <f>UCs!$CV42</f>
        <v>0</v>
      </c>
      <c r="D21" s="575">
        <f>UCs!$CV45</f>
        <v>0</v>
      </c>
      <c r="E21" s="575">
        <f>UCs!$CV4</f>
        <v>0</v>
      </c>
      <c r="F21">
        <f>VLOOKUP($E21,Referências!$T$2:$U$7,2,FALSE)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6"/>
  <dimension ref="A1:U28"/>
  <sheetViews>
    <sheetView topLeftCell="M1" zoomScale="205" zoomScaleNormal="205" workbookViewId="0">
      <selection activeCell="Q4" sqref="Q4"/>
    </sheetView>
  </sheetViews>
  <sheetFormatPr defaultRowHeight="15" x14ac:dyDescent="0.25"/>
  <cols>
    <col min="6" max="6" width="59.28515625" bestFit="1" customWidth="1"/>
    <col min="8" max="8" width="30.28515625" bestFit="1" customWidth="1"/>
    <col min="10" max="10" width="41" bestFit="1" customWidth="1"/>
    <col min="12" max="12" width="50.42578125" bestFit="1" customWidth="1"/>
    <col min="20" max="20" width="11.140625" bestFit="1" customWidth="1"/>
  </cols>
  <sheetData>
    <row r="1" spans="1:21" x14ac:dyDescent="0.25">
      <c r="A1" t="s">
        <v>495</v>
      </c>
      <c r="C1" t="s">
        <v>20</v>
      </c>
      <c r="F1" t="s">
        <v>496</v>
      </c>
      <c r="H1" t="s">
        <v>497</v>
      </c>
      <c r="J1" t="s">
        <v>498</v>
      </c>
      <c r="L1" t="s">
        <v>499</v>
      </c>
      <c r="T1" t="s">
        <v>5106</v>
      </c>
      <c r="U1" t="s">
        <v>3802</v>
      </c>
    </row>
    <row r="2" spans="1:21" x14ac:dyDescent="0.25">
      <c r="A2" t="s">
        <v>500</v>
      </c>
      <c r="C2" t="s">
        <v>30</v>
      </c>
      <c r="F2" t="s">
        <v>501</v>
      </c>
      <c r="H2" t="s">
        <v>502</v>
      </c>
      <c r="J2" t="s">
        <v>503</v>
      </c>
      <c r="L2" t="s">
        <v>504</v>
      </c>
      <c r="O2" t="s">
        <v>5066</v>
      </c>
      <c r="Q2" t="s">
        <v>5869</v>
      </c>
      <c r="T2" t="s">
        <v>5099</v>
      </c>
      <c r="U2">
        <v>0.46</v>
      </c>
    </row>
    <row r="3" spans="1:21" x14ac:dyDescent="0.25">
      <c r="A3" t="s">
        <v>505</v>
      </c>
      <c r="C3" t="s">
        <v>41</v>
      </c>
      <c r="F3" t="s">
        <v>506</v>
      </c>
      <c r="H3" t="s">
        <v>507</v>
      </c>
      <c r="J3" t="s">
        <v>508</v>
      </c>
      <c r="L3" t="s">
        <v>509</v>
      </c>
      <c r="O3" t="s">
        <v>5067</v>
      </c>
      <c r="Q3" t="s">
        <v>5870</v>
      </c>
      <c r="T3" t="s">
        <v>5100</v>
      </c>
      <c r="U3">
        <v>0.63</v>
      </c>
    </row>
    <row r="4" spans="1:21" x14ac:dyDescent="0.25">
      <c r="A4" t="s">
        <v>510</v>
      </c>
      <c r="C4" t="s">
        <v>51</v>
      </c>
      <c r="D4" s="478"/>
      <c r="F4" t="s">
        <v>511</v>
      </c>
      <c r="J4" t="s">
        <v>512</v>
      </c>
      <c r="L4" t="s">
        <v>513</v>
      </c>
      <c r="T4" t="s">
        <v>5101</v>
      </c>
      <c r="U4">
        <v>0.53</v>
      </c>
    </row>
    <row r="5" spans="1:21" x14ac:dyDescent="0.25">
      <c r="C5" t="s">
        <v>60</v>
      </c>
      <c r="F5" t="s">
        <v>514</v>
      </c>
      <c r="J5" t="s">
        <v>515</v>
      </c>
      <c r="L5" t="s">
        <v>516</v>
      </c>
      <c r="T5" t="s">
        <v>5102</v>
      </c>
      <c r="U5">
        <v>0.69</v>
      </c>
    </row>
    <row r="6" spans="1:21" x14ac:dyDescent="0.25">
      <c r="C6" t="s">
        <v>66</v>
      </c>
      <c r="F6" t="s">
        <v>517</v>
      </c>
      <c r="J6" t="s">
        <v>518</v>
      </c>
      <c r="L6" t="s">
        <v>519</v>
      </c>
      <c r="T6" t="s">
        <v>5103</v>
      </c>
      <c r="U6">
        <v>0.56999999999999995</v>
      </c>
    </row>
    <row r="7" spans="1:21" x14ac:dyDescent="0.25">
      <c r="C7" t="s">
        <v>70</v>
      </c>
      <c r="F7" t="s">
        <v>520</v>
      </c>
      <c r="J7" t="s">
        <v>521</v>
      </c>
      <c r="L7" t="s">
        <v>522</v>
      </c>
      <c r="T7">
        <v>0</v>
      </c>
      <c r="U7">
        <v>0</v>
      </c>
    </row>
    <row r="8" spans="1:21" x14ac:dyDescent="0.25">
      <c r="C8" t="s">
        <v>75</v>
      </c>
      <c r="F8" t="s">
        <v>523</v>
      </c>
      <c r="J8" t="s">
        <v>524</v>
      </c>
      <c r="L8" t="s">
        <v>525</v>
      </c>
    </row>
    <row r="9" spans="1:21" x14ac:dyDescent="0.25">
      <c r="C9" t="s">
        <v>526</v>
      </c>
      <c r="F9" t="s">
        <v>527</v>
      </c>
      <c r="J9" t="s">
        <v>528</v>
      </c>
      <c r="L9" t="s">
        <v>529</v>
      </c>
    </row>
    <row r="10" spans="1:21" x14ac:dyDescent="0.25">
      <c r="F10" t="s">
        <v>530</v>
      </c>
      <c r="J10" t="s">
        <v>531</v>
      </c>
      <c r="L10" t="s">
        <v>532</v>
      </c>
    </row>
    <row r="11" spans="1:21" x14ac:dyDescent="0.25">
      <c r="F11" t="s">
        <v>533</v>
      </c>
      <c r="J11" t="s">
        <v>534</v>
      </c>
      <c r="L11" t="s">
        <v>535</v>
      </c>
    </row>
    <row r="12" spans="1:21" x14ac:dyDescent="0.25">
      <c r="F12" t="s">
        <v>536</v>
      </c>
      <c r="J12" t="s">
        <v>537</v>
      </c>
      <c r="L12" t="s">
        <v>538</v>
      </c>
    </row>
    <row r="13" spans="1:21" x14ac:dyDescent="0.25">
      <c r="F13" t="s">
        <v>539</v>
      </c>
      <c r="J13" t="s">
        <v>540</v>
      </c>
      <c r="L13" t="s">
        <v>541</v>
      </c>
    </row>
    <row r="14" spans="1:21" x14ac:dyDescent="0.25">
      <c r="F14" t="s">
        <v>542</v>
      </c>
      <c r="J14" t="s">
        <v>543</v>
      </c>
      <c r="L14" t="s">
        <v>544</v>
      </c>
    </row>
    <row r="15" spans="1:21" x14ac:dyDescent="0.25">
      <c r="F15" t="s">
        <v>545</v>
      </c>
      <c r="L15" t="s">
        <v>546</v>
      </c>
    </row>
    <row r="16" spans="1:21" x14ac:dyDescent="0.25">
      <c r="F16" t="s">
        <v>547</v>
      </c>
      <c r="L16" t="s">
        <v>548</v>
      </c>
    </row>
    <row r="17" spans="6:12" x14ac:dyDescent="0.25">
      <c r="F17" t="s">
        <v>549</v>
      </c>
      <c r="L17" t="s">
        <v>550</v>
      </c>
    </row>
    <row r="18" spans="6:12" x14ac:dyDescent="0.25">
      <c r="F18" t="s">
        <v>551</v>
      </c>
      <c r="L18" t="s">
        <v>552</v>
      </c>
    </row>
    <row r="19" spans="6:12" x14ac:dyDescent="0.25">
      <c r="F19" t="s">
        <v>553</v>
      </c>
      <c r="L19" t="s">
        <v>554</v>
      </c>
    </row>
    <row r="20" spans="6:12" x14ac:dyDescent="0.25">
      <c r="F20" t="s">
        <v>555</v>
      </c>
      <c r="L20" t="s">
        <v>556</v>
      </c>
    </row>
    <row r="21" spans="6:12" x14ac:dyDescent="0.25">
      <c r="F21" t="s">
        <v>557</v>
      </c>
      <c r="L21" t="s">
        <v>558</v>
      </c>
    </row>
    <row r="22" spans="6:12" x14ac:dyDescent="0.25">
      <c r="F22" t="s">
        <v>559</v>
      </c>
      <c r="L22" t="s">
        <v>560</v>
      </c>
    </row>
    <row r="23" spans="6:12" x14ac:dyDescent="0.25">
      <c r="L23" t="s">
        <v>561</v>
      </c>
    </row>
    <row r="24" spans="6:12" x14ac:dyDescent="0.25">
      <c r="L24" t="s">
        <v>562</v>
      </c>
    </row>
    <row r="25" spans="6:12" x14ac:dyDescent="0.25">
      <c r="L25" t="s">
        <v>563</v>
      </c>
    </row>
    <row r="26" spans="6:12" x14ac:dyDescent="0.25">
      <c r="L26" t="s">
        <v>564</v>
      </c>
    </row>
    <row r="27" spans="6:12" x14ac:dyDescent="0.25">
      <c r="L27" t="s">
        <v>565</v>
      </c>
    </row>
    <row r="28" spans="6:12" x14ac:dyDescent="0.25">
      <c r="L28" t="s">
        <v>566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E0EC-6E2C-4D87-A380-FD79507F08EC}">
  <sheetPr codeName="Plan29"/>
  <dimension ref="B2:Z123"/>
  <sheetViews>
    <sheetView tabSelected="1" topLeftCell="A19" zoomScaleNormal="100" workbookViewId="0">
      <selection activeCell="L45" sqref="L45"/>
    </sheetView>
  </sheetViews>
  <sheetFormatPr defaultColWidth="9.140625" defaultRowHeight="15" customHeight="1" x14ac:dyDescent="0.25"/>
  <cols>
    <col min="1" max="1" width="3.7109375" style="52" customWidth="1"/>
    <col min="2" max="2" width="4.42578125" style="52" bestFit="1" customWidth="1"/>
    <col min="3" max="7" width="10.7109375" style="52" customWidth="1"/>
    <col min="8" max="9" width="11.42578125" style="52" bestFit="1" customWidth="1"/>
    <col min="10" max="10" width="16.140625" style="52" bestFit="1" customWidth="1"/>
    <col min="11" max="11" width="18.85546875" style="52" bestFit="1" customWidth="1"/>
    <col min="12" max="12" width="20.28515625" style="52" customWidth="1"/>
    <col min="13" max="13" width="18" style="52" bestFit="1" customWidth="1"/>
    <col min="14" max="14" width="18.85546875" style="52" bestFit="1" customWidth="1"/>
    <col min="15" max="15" width="3.7109375" style="52" customWidth="1"/>
    <col min="16" max="16" width="12.5703125" style="52" bestFit="1" customWidth="1"/>
    <col min="17" max="17" width="10.7109375" style="52" customWidth="1"/>
    <col min="18" max="18" width="7.140625" style="52" bestFit="1" customWidth="1"/>
    <col min="19" max="19" width="10.7109375" style="52" customWidth="1"/>
    <col min="20" max="20" width="14.42578125" style="52" bestFit="1" customWidth="1"/>
    <col min="21" max="21" width="10.7109375" style="52" customWidth="1"/>
    <col min="22" max="22" width="8.42578125" style="52" bestFit="1" customWidth="1"/>
    <col min="23" max="23" width="10.140625" style="52" bestFit="1" customWidth="1"/>
    <col min="24" max="25" width="17.7109375" style="52" bestFit="1" customWidth="1"/>
    <col min="26" max="16384" width="9.140625" style="52"/>
  </cols>
  <sheetData>
    <row r="2" spans="2:26" ht="15" customHeight="1" x14ac:dyDescent="0.25">
      <c r="B2" s="649" t="s">
        <v>5147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  <c r="P2" s="779" t="str">
        <f>B2</f>
        <v>BESS - EX ANTE</v>
      </c>
      <c r="Q2" s="779"/>
      <c r="R2" s="779"/>
      <c r="S2" s="779"/>
      <c r="T2" s="779"/>
      <c r="U2" s="779"/>
      <c r="V2" s="779"/>
      <c r="W2" s="779"/>
      <c r="X2" s="779"/>
      <c r="Y2" s="779"/>
    </row>
    <row r="3" spans="2:26" ht="15" customHeight="1" x14ac:dyDescent="0.25">
      <c r="B3" s="649" t="s">
        <v>3918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779" t="s">
        <v>4055</v>
      </c>
      <c r="Q3" s="779"/>
      <c r="R3" s="779"/>
      <c r="S3" s="779"/>
      <c r="T3" s="779"/>
      <c r="U3" s="779"/>
      <c r="V3" s="779"/>
      <c r="W3" s="779"/>
      <c r="X3" s="779"/>
      <c r="Y3" s="779"/>
    </row>
    <row r="4" spans="2:26" ht="15" customHeight="1" x14ac:dyDescent="0.25">
      <c r="B4" s="829" t="s">
        <v>4056</v>
      </c>
      <c r="C4" s="830"/>
      <c r="D4" s="830"/>
      <c r="E4" s="830"/>
      <c r="F4" s="830"/>
      <c r="G4" s="830"/>
      <c r="H4" s="830"/>
      <c r="I4" s="830"/>
      <c r="J4" s="830"/>
      <c r="K4" s="797" t="s">
        <v>3909</v>
      </c>
      <c r="L4" s="797"/>
      <c r="M4" s="797"/>
      <c r="N4" s="797"/>
      <c r="P4" s="829" t="s">
        <v>4057</v>
      </c>
      <c r="Q4" s="830"/>
      <c r="R4" s="830"/>
      <c r="S4" s="830"/>
      <c r="T4" s="830"/>
      <c r="U4" s="830"/>
      <c r="V4" s="830"/>
      <c r="W4" s="830"/>
      <c r="X4" s="831"/>
      <c r="Y4" s="526" t="s">
        <v>4058</v>
      </c>
    </row>
    <row r="5" spans="2:26" ht="15" customHeight="1" x14ac:dyDescent="0.25">
      <c r="B5" s="832" t="s">
        <v>3919</v>
      </c>
      <c r="C5" s="832"/>
      <c r="D5" s="832"/>
      <c r="E5" s="833"/>
      <c r="F5" s="833"/>
      <c r="G5" s="833"/>
      <c r="H5" s="535" t="s">
        <v>4059</v>
      </c>
      <c r="I5" s="535" t="s">
        <v>3980</v>
      </c>
      <c r="J5" s="535" t="s">
        <v>3981</v>
      </c>
      <c r="K5" s="167" t="s">
        <v>3982</v>
      </c>
      <c r="L5" s="137" t="s">
        <v>4060</v>
      </c>
      <c r="M5" s="137" t="s">
        <v>4061</v>
      </c>
      <c r="N5" s="138" t="s">
        <v>4062</v>
      </c>
      <c r="P5" s="832" t="str">
        <f>B5</f>
        <v>Materiais e equipamentos</v>
      </c>
      <c r="Q5" s="832"/>
      <c r="R5" s="832"/>
      <c r="S5" s="833"/>
      <c r="T5" s="833"/>
      <c r="U5" s="833"/>
      <c r="V5" s="535" t="s">
        <v>4059</v>
      </c>
      <c r="W5" s="167" t="s">
        <v>4063</v>
      </c>
      <c r="X5" s="167" t="s">
        <v>4064</v>
      </c>
      <c r="Y5" s="138" t="s">
        <v>4065</v>
      </c>
    </row>
    <row r="6" spans="2:26" ht="15" customHeight="1" x14ac:dyDescent="0.25">
      <c r="B6" s="168">
        <v>1</v>
      </c>
      <c r="C6" s="827"/>
      <c r="D6" s="828"/>
      <c r="E6" s="828"/>
      <c r="F6" s="828"/>
      <c r="G6" s="828"/>
      <c r="H6" s="18"/>
      <c r="I6" s="2"/>
      <c r="J6" s="1"/>
      <c r="K6" s="143">
        <f>N6-L6-M6</f>
        <v>0</v>
      </c>
      <c r="L6" s="1"/>
      <c r="M6" s="1"/>
      <c r="N6" s="143">
        <f>I6*J6</f>
        <v>0</v>
      </c>
      <c r="P6" s="168">
        <f>B6</f>
        <v>1</v>
      </c>
      <c r="Q6" s="834" t="str">
        <f>IF(OR(C6=0,C6=""),"",C6)</f>
        <v/>
      </c>
      <c r="R6" s="834"/>
      <c r="S6" s="834"/>
      <c r="T6" s="834"/>
      <c r="U6" s="835"/>
      <c r="V6" s="171" t="str">
        <f>IF(N6=0,"",H6)</f>
        <v/>
      </c>
      <c r="W6" s="172">
        <f>IF(OR(V6="",V6=0),0,(Projeto!$AD$8*((1+Projeto!$AD$8)^V6))/(((1+Projeto!$AD$8)^V6)-1))</f>
        <v>0</v>
      </c>
      <c r="X6" s="173">
        <f>IF(AND(K6&gt;0,CustoContabil!$E$6&gt;0),K6*(CustoContabil!$E$20/CustoContabil!$E$6)*W6,0)</f>
        <v>0</v>
      </c>
      <c r="Y6" s="173">
        <f>IF(AND(N6&gt;0,CustoContabil!$C$6&gt;0),N6*(CustoContabil!$C$20/CustoContabil!$C$6)*W6,0)</f>
        <v>0</v>
      </c>
      <c r="Z6" s="174"/>
    </row>
    <row r="7" spans="2:26" ht="15" customHeight="1" x14ac:dyDescent="0.25">
      <c r="B7" s="168">
        <v>2</v>
      </c>
      <c r="C7" s="827"/>
      <c r="D7" s="828"/>
      <c r="E7" s="828"/>
      <c r="F7" s="828"/>
      <c r="G7" s="828"/>
      <c r="H7" s="18"/>
      <c r="I7" s="2"/>
      <c r="J7" s="1"/>
      <c r="K7" s="143">
        <f t="shared" ref="K7:K25" si="0">N7-L7-M7</f>
        <v>0</v>
      </c>
      <c r="L7" s="1"/>
      <c r="M7" s="1"/>
      <c r="N7" s="143">
        <f t="shared" ref="N7:N25" si="1">I7*J7</f>
        <v>0</v>
      </c>
      <c r="P7" s="168">
        <f t="shared" ref="P7:P25" si="2">B7</f>
        <v>2</v>
      </c>
      <c r="Q7" s="834" t="str">
        <f t="shared" ref="Q7:Q25" si="3">IF(OR(C7=0,C7=""),"",C7)</f>
        <v/>
      </c>
      <c r="R7" s="834"/>
      <c r="S7" s="834"/>
      <c r="T7" s="834"/>
      <c r="U7" s="835"/>
      <c r="V7" s="171" t="str">
        <f t="shared" ref="V7:V25" si="4">IF(N7=0,"",H7)</f>
        <v/>
      </c>
      <c r="W7" s="172">
        <f>IF(OR(V7="",V7=0),0,(Projeto!$AD$8*((1+Projeto!$AD$8)^V7))/(((1+Projeto!$AD$8)^V7)-1))</f>
        <v>0</v>
      </c>
      <c r="X7" s="173">
        <f>IF(AND(K7&gt;0,CustoContabil!$E$6&gt;0),K7*(CustoContabil!$E$20/CustoContabil!$E$6)*W7,0)</f>
        <v>0</v>
      </c>
      <c r="Y7" s="173">
        <f>IF(AND(N7&gt;0,CustoContabil!$C$6&gt;0),N7*(CustoContabil!$C$20/CustoContabil!$C$6)*W7,0)</f>
        <v>0</v>
      </c>
      <c r="Z7" s="174"/>
    </row>
    <row r="8" spans="2:26" ht="15" customHeight="1" x14ac:dyDescent="0.25">
      <c r="B8" s="168">
        <v>3</v>
      </c>
      <c r="C8" s="827"/>
      <c r="D8" s="828"/>
      <c r="E8" s="828"/>
      <c r="F8" s="828"/>
      <c r="G8" s="828"/>
      <c r="H8" s="18"/>
      <c r="I8" s="2"/>
      <c r="J8" s="1"/>
      <c r="K8" s="143">
        <f t="shared" si="0"/>
        <v>0</v>
      </c>
      <c r="L8" s="1"/>
      <c r="M8" s="1"/>
      <c r="N8" s="143">
        <f t="shared" si="1"/>
        <v>0</v>
      </c>
      <c r="P8" s="168">
        <f t="shared" si="2"/>
        <v>3</v>
      </c>
      <c r="Q8" s="834" t="str">
        <f>IF(OR(C8=0,C8=""),"",C8)</f>
        <v/>
      </c>
      <c r="R8" s="834"/>
      <c r="S8" s="834"/>
      <c r="T8" s="834"/>
      <c r="U8" s="835"/>
      <c r="V8" s="171" t="str">
        <f t="shared" si="4"/>
        <v/>
      </c>
      <c r="W8" s="172">
        <f>IF(OR(V8="",V8=0),0,(Projeto!$AD$8*((1+Projeto!$AD$8)^V8))/(((1+Projeto!$AD$8)^V8)-1))</f>
        <v>0</v>
      </c>
      <c r="X8" s="173">
        <f>IF(AND(K8&gt;0,CustoContabil!$E$6&gt;0),K8*(CustoContabil!$E$20/CustoContabil!$E$6)*W8,0)</f>
        <v>0</v>
      </c>
      <c r="Y8" s="173">
        <f>IF(AND(N8&gt;0,CustoContabil!$C$6&gt;0),N8*(CustoContabil!$C$20/CustoContabil!$C$6)*W8,0)</f>
        <v>0</v>
      </c>
      <c r="Z8" s="174"/>
    </row>
    <row r="9" spans="2:26" ht="15" customHeight="1" x14ac:dyDescent="0.25">
      <c r="B9" s="168">
        <v>4</v>
      </c>
      <c r="C9" s="827"/>
      <c r="D9" s="828"/>
      <c r="E9" s="828"/>
      <c r="F9" s="828"/>
      <c r="G9" s="828"/>
      <c r="H9" s="18"/>
      <c r="I9" s="2"/>
      <c r="J9" s="1"/>
      <c r="K9" s="143">
        <f t="shared" si="0"/>
        <v>0</v>
      </c>
      <c r="L9" s="1"/>
      <c r="M9" s="1"/>
      <c r="N9" s="143">
        <f t="shared" si="1"/>
        <v>0</v>
      </c>
      <c r="P9" s="168">
        <f t="shared" si="2"/>
        <v>4</v>
      </c>
      <c r="Q9" s="834" t="str">
        <f t="shared" si="3"/>
        <v/>
      </c>
      <c r="R9" s="834"/>
      <c r="S9" s="834"/>
      <c r="T9" s="834"/>
      <c r="U9" s="835"/>
      <c r="V9" s="171" t="str">
        <f t="shared" si="4"/>
        <v/>
      </c>
      <c r="W9" s="172">
        <f>IF(OR(V9="",V9=0),0,(Projeto!$AD$8*((1+Projeto!$AD$8)^V9))/(((1+Projeto!$AD$8)^V9)-1))</f>
        <v>0</v>
      </c>
      <c r="X9" s="173">
        <f>IF(AND(K9&gt;0,CustoContabil!$E$6&gt;0),K9*(CustoContabil!$E$20/CustoContabil!$E$6)*W9,0)</f>
        <v>0</v>
      </c>
      <c r="Y9" s="173">
        <f>IF(AND(N9&gt;0,CustoContabil!$C$6&gt;0),N9*(CustoContabil!$C$20/CustoContabil!$C$6)*W9,0)</f>
        <v>0</v>
      </c>
      <c r="Z9" s="174"/>
    </row>
    <row r="10" spans="2:26" ht="15" customHeight="1" x14ac:dyDescent="0.25">
      <c r="B10" s="168">
        <v>5</v>
      </c>
      <c r="C10" s="827"/>
      <c r="D10" s="828"/>
      <c r="E10" s="828"/>
      <c r="F10" s="828"/>
      <c r="G10" s="828"/>
      <c r="H10" s="18"/>
      <c r="I10" s="2"/>
      <c r="J10" s="1"/>
      <c r="K10" s="143">
        <f t="shared" si="0"/>
        <v>0</v>
      </c>
      <c r="L10" s="1"/>
      <c r="M10" s="1"/>
      <c r="N10" s="143">
        <f t="shared" si="1"/>
        <v>0</v>
      </c>
      <c r="P10" s="168">
        <f t="shared" si="2"/>
        <v>5</v>
      </c>
      <c r="Q10" s="834" t="str">
        <f t="shared" si="3"/>
        <v/>
      </c>
      <c r="R10" s="834"/>
      <c r="S10" s="834"/>
      <c r="T10" s="834"/>
      <c r="U10" s="835"/>
      <c r="V10" s="171" t="str">
        <f t="shared" si="4"/>
        <v/>
      </c>
      <c r="W10" s="172">
        <f>IF(OR(V10="",V10=0),0,(Projeto!$AD$8*((1+Projeto!$AD$8)^V10))/(((1+Projeto!$AD$8)^V10)-1))</f>
        <v>0</v>
      </c>
      <c r="X10" s="173">
        <f>IF(AND(K10&gt;0,CustoContabil!$E$6&gt;0),K10*(CustoContabil!$E$20/CustoContabil!$E$6)*W10,0)</f>
        <v>0</v>
      </c>
      <c r="Y10" s="173">
        <f>IF(AND(N10&gt;0,CustoContabil!$C$6&gt;0),N10*(CustoContabil!$C$20/CustoContabil!$C$6)*W10,0)</f>
        <v>0</v>
      </c>
      <c r="Z10" s="174"/>
    </row>
    <row r="11" spans="2:26" ht="15" customHeight="1" x14ac:dyDescent="0.25">
      <c r="B11" s="168">
        <v>6</v>
      </c>
      <c r="C11" s="827"/>
      <c r="D11" s="828"/>
      <c r="E11" s="828"/>
      <c r="F11" s="828"/>
      <c r="G11" s="828"/>
      <c r="H11" s="18"/>
      <c r="I11" s="2"/>
      <c r="J11" s="1"/>
      <c r="K11" s="143">
        <f t="shared" si="0"/>
        <v>0</v>
      </c>
      <c r="L11" s="1"/>
      <c r="M11" s="1"/>
      <c r="N11" s="143">
        <f>I11*J11</f>
        <v>0</v>
      </c>
      <c r="P11" s="168">
        <f t="shared" si="2"/>
        <v>6</v>
      </c>
      <c r="Q11" s="834" t="str">
        <f t="shared" si="3"/>
        <v/>
      </c>
      <c r="R11" s="834"/>
      <c r="S11" s="834"/>
      <c r="T11" s="834"/>
      <c r="U11" s="835"/>
      <c r="V11" s="171" t="str">
        <f t="shared" si="4"/>
        <v/>
      </c>
      <c r="W11" s="172">
        <f>IF(OR(V11="",V11=0),0,(Projeto!$AD$8*((1+Projeto!$AD$8)^V11))/(((1+Projeto!$AD$8)^V11)-1))</f>
        <v>0</v>
      </c>
      <c r="X11" s="173">
        <f>IF(AND(K11&gt;0,CustoContabil!$E$6&gt;0),K11*(CustoContabil!$E$20/CustoContabil!$E$6)*W11,0)</f>
        <v>0</v>
      </c>
      <c r="Y11" s="173">
        <f>IF(AND(N11&gt;0,CustoContabil!$C$6&gt;0),N11*(CustoContabil!$C$20/CustoContabil!$C$6)*W11,0)</f>
        <v>0</v>
      </c>
      <c r="Z11" s="174"/>
    </row>
    <row r="12" spans="2:26" ht="15" customHeight="1" x14ac:dyDescent="0.25">
      <c r="B12" s="168">
        <v>7</v>
      </c>
      <c r="C12" s="827"/>
      <c r="D12" s="828"/>
      <c r="E12" s="828"/>
      <c r="F12" s="828"/>
      <c r="G12" s="828"/>
      <c r="H12" s="18"/>
      <c r="I12" s="2"/>
      <c r="J12" s="1"/>
      <c r="K12" s="143">
        <f t="shared" si="0"/>
        <v>0</v>
      </c>
      <c r="L12" s="1"/>
      <c r="M12" s="1"/>
      <c r="N12" s="143">
        <f t="shared" si="1"/>
        <v>0</v>
      </c>
      <c r="P12" s="168">
        <f t="shared" si="2"/>
        <v>7</v>
      </c>
      <c r="Q12" s="834" t="str">
        <f t="shared" si="3"/>
        <v/>
      </c>
      <c r="R12" s="834"/>
      <c r="S12" s="834"/>
      <c r="T12" s="834"/>
      <c r="U12" s="835"/>
      <c r="V12" s="171" t="str">
        <f t="shared" si="4"/>
        <v/>
      </c>
      <c r="W12" s="172">
        <f>IF(OR(V12="",V12=0),0,(Projeto!$AD$8*((1+Projeto!$AD$8)^V12))/(((1+Projeto!$AD$8)^V12)-1))</f>
        <v>0</v>
      </c>
      <c r="X12" s="173">
        <f>IF(AND(K12&gt;0,CustoContabil!$E$6&gt;0),K12*(CustoContabil!$E$20/CustoContabil!$E$6)*W12,0)</f>
        <v>0</v>
      </c>
      <c r="Y12" s="173">
        <f>IF(AND(N12&gt;0,CustoContabil!$C$6&gt;0),N12*(CustoContabil!$C$20/CustoContabil!$C$6)*W12,0)</f>
        <v>0</v>
      </c>
      <c r="Z12" s="174"/>
    </row>
    <row r="13" spans="2:26" ht="15" customHeight="1" x14ac:dyDescent="0.25">
      <c r="B13" s="168">
        <v>8</v>
      </c>
      <c r="C13" s="827"/>
      <c r="D13" s="828"/>
      <c r="E13" s="828"/>
      <c r="F13" s="828"/>
      <c r="G13" s="828"/>
      <c r="H13" s="18"/>
      <c r="I13" s="2"/>
      <c r="J13" s="1"/>
      <c r="K13" s="143">
        <f t="shared" si="0"/>
        <v>0</v>
      </c>
      <c r="L13" s="1"/>
      <c r="M13" s="1"/>
      <c r="N13" s="143">
        <f t="shared" si="1"/>
        <v>0</v>
      </c>
      <c r="P13" s="168">
        <f t="shared" si="2"/>
        <v>8</v>
      </c>
      <c r="Q13" s="834" t="str">
        <f t="shared" si="3"/>
        <v/>
      </c>
      <c r="R13" s="834"/>
      <c r="S13" s="834"/>
      <c r="T13" s="834"/>
      <c r="U13" s="835"/>
      <c r="V13" s="171" t="str">
        <f t="shared" si="4"/>
        <v/>
      </c>
      <c r="W13" s="172">
        <f>IF(OR(V13="",V13=0),0,(Projeto!$AD$8*((1+Projeto!$AD$8)^V13))/(((1+Projeto!$AD$8)^V13)-1))</f>
        <v>0</v>
      </c>
      <c r="X13" s="173">
        <f>IF(AND(K13&gt;0,CustoContabil!$E$6&gt;0),K13*(CustoContabil!$E$20/CustoContabil!$E$6)*W13,0)</f>
        <v>0</v>
      </c>
      <c r="Y13" s="173">
        <f>IF(AND(N13&gt;0,CustoContabil!$C$6&gt;0),N13*(CustoContabil!$C$20/CustoContabil!$C$6)*W13,0)</f>
        <v>0</v>
      </c>
      <c r="Z13" s="174"/>
    </row>
    <row r="14" spans="2:26" ht="15" customHeight="1" x14ac:dyDescent="0.25">
      <c r="B14" s="168">
        <v>9</v>
      </c>
      <c r="C14" s="827"/>
      <c r="D14" s="828"/>
      <c r="E14" s="828"/>
      <c r="F14" s="828"/>
      <c r="G14" s="828"/>
      <c r="H14" s="18"/>
      <c r="I14" s="2"/>
      <c r="J14" s="1"/>
      <c r="K14" s="143">
        <f t="shared" si="0"/>
        <v>0</v>
      </c>
      <c r="L14" s="1"/>
      <c r="M14" s="1"/>
      <c r="N14" s="143">
        <f t="shared" si="1"/>
        <v>0</v>
      </c>
      <c r="P14" s="168">
        <f t="shared" si="2"/>
        <v>9</v>
      </c>
      <c r="Q14" s="834" t="str">
        <f t="shared" si="3"/>
        <v/>
      </c>
      <c r="R14" s="834"/>
      <c r="S14" s="834"/>
      <c r="T14" s="834"/>
      <c r="U14" s="835"/>
      <c r="V14" s="171" t="str">
        <f t="shared" si="4"/>
        <v/>
      </c>
      <c r="W14" s="172">
        <f>IF(OR(V14="",V14=0),0,(Projeto!$AD$8*((1+Projeto!$AD$8)^V14))/(((1+Projeto!$AD$8)^V14)-1))</f>
        <v>0</v>
      </c>
      <c r="X14" s="173">
        <f>IF(AND(K14&gt;0,CustoContabil!$E$6&gt;0),K14*(CustoContabil!$E$20/CustoContabil!$E$6)*W14,0)</f>
        <v>0</v>
      </c>
      <c r="Y14" s="173">
        <f>IF(AND(N14&gt;0,CustoContabil!$C$6&gt;0),N14*(CustoContabil!$C$20/CustoContabil!$C$6)*W14,0)</f>
        <v>0</v>
      </c>
      <c r="Z14" s="174"/>
    </row>
    <row r="15" spans="2:26" ht="15" customHeight="1" x14ac:dyDescent="0.25">
      <c r="B15" s="168">
        <v>10</v>
      </c>
      <c r="C15" s="827"/>
      <c r="D15" s="828"/>
      <c r="E15" s="828"/>
      <c r="F15" s="828"/>
      <c r="G15" s="828"/>
      <c r="H15" s="18"/>
      <c r="I15" s="2"/>
      <c r="J15" s="1"/>
      <c r="K15" s="143">
        <f t="shared" si="0"/>
        <v>0</v>
      </c>
      <c r="L15" s="1"/>
      <c r="M15" s="1"/>
      <c r="N15" s="143">
        <f t="shared" si="1"/>
        <v>0</v>
      </c>
      <c r="P15" s="168">
        <f t="shared" si="2"/>
        <v>10</v>
      </c>
      <c r="Q15" s="834" t="str">
        <f t="shared" si="3"/>
        <v/>
      </c>
      <c r="R15" s="834"/>
      <c r="S15" s="834"/>
      <c r="T15" s="834"/>
      <c r="U15" s="835"/>
      <c r="V15" s="171" t="str">
        <f t="shared" si="4"/>
        <v/>
      </c>
      <c r="W15" s="172">
        <f>IF(OR(V15="",V15=0),0,(Projeto!$AD$8*((1+Projeto!$AD$8)^V15))/(((1+Projeto!$AD$8)^V15)-1))</f>
        <v>0</v>
      </c>
      <c r="X15" s="173">
        <f>IF(AND(K15&gt;0,CustoContabil!$E$6&gt;0),K15*(CustoContabil!$E$20/CustoContabil!$E$6)*W15,0)</f>
        <v>0</v>
      </c>
      <c r="Y15" s="173">
        <f>IF(AND(N15&gt;0,CustoContabil!$C$6&gt;0),N15*(CustoContabil!$C$20/CustoContabil!$C$6)*W15,0)</f>
        <v>0</v>
      </c>
      <c r="Z15" s="174"/>
    </row>
    <row r="16" spans="2:26" ht="15" customHeight="1" x14ac:dyDescent="0.25">
      <c r="B16" s="168">
        <v>11</v>
      </c>
      <c r="C16" s="827"/>
      <c r="D16" s="828"/>
      <c r="E16" s="828"/>
      <c r="F16" s="828"/>
      <c r="G16" s="828"/>
      <c r="H16" s="18"/>
      <c r="I16" s="2"/>
      <c r="J16" s="1"/>
      <c r="K16" s="143">
        <f t="shared" si="0"/>
        <v>0</v>
      </c>
      <c r="L16" s="1"/>
      <c r="M16" s="1"/>
      <c r="N16" s="143">
        <f t="shared" si="1"/>
        <v>0</v>
      </c>
      <c r="P16" s="168">
        <f t="shared" si="2"/>
        <v>11</v>
      </c>
      <c r="Q16" s="834" t="str">
        <f t="shared" si="3"/>
        <v/>
      </c>
      <c r="R16" s="834"/>
      <c r="S16" s="834"/>
      <c r="T16" s="834"/>
      <c r="U16" s="835"/>
      <c r="V16" s="171" t="str">
        <f t="shared" si="4"/>
        <v/>
      </c>
      <c r="W16" s="172">
        <f>IF(OR(V16="",V16=0),0,(Projeto!$AD$8*((1+Projeto!$AD$8)^V16))/(((1+Projeto!$AD$8)^V16)-1))</f>
        <v>0</v>
      </c>
      <c r="X16" s="173">
        <f>IF(AND(K16&gt;0,CustoContabil!$E$6&gt;0),K16*(CustoContabil!$E$20/CustoContabil!$E$6)*W16,0)</f>
        <v>0</v>
      </c>
      <c r="Y16" s="173">
        <f>IF(AND(N16&gt;0,CustoContabil!$C$6&gt;0),N16*(CustoContabil!$C$20/CustoContabil!$C$6)*W16,0)</f>
        <v>0</v>
      </c>
      <c r="Z16" s="174"/>
    </row>
    <row r="17" spans="2:26" ht="15" customHeight="1" x14ac:dyDescent="0.25">
      <c r="B17" s="168">
        <v>12</v>
      </c>
      <c r="C17" s="827"/>
      <c r="D17" s="828"/>
      <c r="E17" s="828"/>
      <c r="F17" s="828"/>
      <c r="G17" s="828"/>
      <c r="H17" s="18"/>
      <c r="I17" s="2"/>
      <c r="J17" s="1"/>
      <c r="K17" s="143">
        <f t="shared" si="0"/>
        <v>0</v>
      </c>
      <c r="L17" s="1"/>
      <c r="M17" s="1"/>
      <c r="N17" s="143">
        <f t="shared" si="1"/>
        <v>0</v>
      </c>
      <c r="P17" s="168">
        <f t="shared" si="2"/>
        <v>12</v>
      </c>
      <c r="Q17" s="834" t="str">
        <f t="shared" si="3"/>
        <v/>
      </c>
      <c r="R17" s="834"/>
      <c r="S17" s="834"/>
      <c r="T17" s="834"/>
      <c r="U17" s="835"/>
      <c r="V17" s="171" t="str">
        <f t="shared" si="4"/>
        <v/>
      </c>
      <c r="W17" s="172">
        <f>IF(OR(V17="",V17=0),0,(Projeto!$AD$8*((1+Projeto!$AD$8)^V17))/(((1+Projeto!$AD$8)^V17)-1))</f>
        <v>0</v>
      </c>
      <c r="X17" s="173">
        <f>IF(AND(K17&gt;0,CustoContabil!$E$6&gt;0),K17*(CustoContabil!$E$20/CustoContabil!$E$6)*W17,0)</f>
        <v>0</v>
      </c>
      <c r="Y17" s="173">
        <f>IF(AND(N17&gt;0,CustoContabil!$C$6&gt;0),N17*(CustoContabil!$C$20/CustoContabil!$C$6)*W17,0)</f>
        <v>0</v>
      </c>
      <c r="Z17" s="174"/>
    </row>
    <row r="18" spans="2:26" ht="15" customHeight="1" x14ac:dyDescent="0.25">
      <c r="B18" s="168">
        <v>13</v>
      </c>
      <c r="C18" s="827"/>
      <c r="D18" s="828"/>
      <c r="E18" s="828"/>
      <c r="F18" s="828"/>
      <c r="G18" s="828"/>
      <c r="H18" s="18"/>
      <c r="I18" s="2"/>
      <c r="J18" s="1"/>
      <c r="K18" s="143">
        <f t="shared" si="0"/>
        <v>0</v>
      </c>
      <c r="L18" s="1"/>
      <c r="M18" s="1"/>
      <c r="N18" s="143">
        <f t="shared" si="1"/>
        <v>0</v>
      </c>
      <c r="P18" s="168">
        <f t="shared" si="2"/>
        <v>13</v>
      </c>
      <c r="Q18" s="834" t="str">
        <f t="shared" si="3"/>
        <v/>
      </c>
      <c r="R18" s="834"/>
      <c r="S18" s="834"/>
      <c r="T18" s="834"/>
      <c r="U18" s="835"/>
      <c r="V18" s="171" t="str">
        <f t="shared" si="4"/>
        <v/>
      </c>
      <c r="W18" s="172">
        <f>IF(OR(V18="",V18=0),0,(Projeto!$AD$8*((1+Projeto!$AD$8)^V18))/(((1+Projeto!$AD$8)^V18)-1))</f>
        <v>0</v>
      </c>
      <c r="X18" s="173">
        <f>IF(AND(K18&gt;0,CustoContabil!$E$6&gt;0),K18*(CustoContabil!$E$20/CustoContabil!$E$6)*W18,0)</f>
        <v>0</v>
      </c>
      <c r="Y18" s="173">
        <f>IF(AND(N18&gt;0,CustoContabil!$C$6&gt;0),N18*(CustoContabil!$C$20/CustoContabil!$C$6)*W18,0)</f>
        <v>0</v>
      </c>
      <c r="Z18" s="174"/>
    </row>
    <row r="19" spans="2:26" ht="15" customHeight="1" x14ac:dyDescent="0.25">
      <c r="B19" s="168">
        <v>14</v>
      </c>
      <c r="C19" s="827"/>
      <c r="D19" s="828"/>
      <c r="E19" s="828"/>
      <c r="F19" s="828"/>
      <c r="G19" s="828"/>
      <c r="H19" s="18"/>
      <c r="I19" s="2"/>
      <c r="J19" s="1"/>
      <c r="K19" s="143">
        <f t="shared" si="0"/>
        <v>0</v>
      </c>
      <c r="L19" s="1"/>
      <c r="M19" s="1"/>
      <c r="N19" s="143">
        <f t="shared" si="1"/>
        <v>0</v>
      </c>
      <c r="P19" s="168">
        <f t="shared" si="2"/>
        <v>14</v>
      </c>
      <c r="Q19" s="834" t="str">
        <f t="shared" si="3"/>
        <v/>
      </c>
      <c r="R19" s="834"/>
      <c r="S19" s="834"/>
      <c r="T19" s="834"/>
      <c r="U19" s="835"/>
      <c r="V19" s="171" t="str">
        <f t="shared" si="4"/>
        <v/>
      </c>
      <c r="W19" s="172">
        <f>IF(OR(V19="",V19=0),0,(Projeto!$AD$8*((1+Projeto!$AD$8)^V19))/(((1+Projeto!$AD$8)^V19)-1))</f>
        <v>0</v>
      </c>
      <c r="X19" s="173">
        <f>IF(AND(K19&gt;0,CustoContabil!$E$6&gt;0),K19*(CustoContabil!$E$20/CustoContabil!$E$6)*W19,0)</f>
        <v>0</v>
      </c>
      <c r="Y19" s="173">
        <f>IF(AND(N19&gt;0,CustoContabil!$C$6&gt;0),N19*(CustoContabil!$C$20/CustoContabil!$C$6)*W19,0)</f>
        <v>0</v>
      </c>
      <c r="Z19" s="174"/>
    </row>
    <row r="20" spans="2:26" ht="15" customHeight="1" x14ac:dyDescent="0.25">
      <c r="B20" s="168">
        <v>15</v>
      </c>
      <c r="C20" s="827"/>
      <c r="D20" s="828"/>
      <c r="E20" s="828"/>
      <c r="F20" s="828"/>
      <c r="G20" s="828"/>
      <c r="H20" s="18"/>
      <c r="I20" s="2"/>
      <c r="J20" s="1"/>
      <c r="K20" s="143">
        <f t="shared" si="0"/>
        <v>0</v>
      </c>
      <c r="L20" s="1"/>
      <c r="M20" s="1"/>
      <c r="N20" s="143">
        <f t="shared" si="1"/>
        <v>0</v>
      </c>
      <c r="P20" s="168">
        <f t="shared" si="2"/>
        <v>15</v>
      </c>
      <c r="Q20" s="834" t="str">
        <f t="shared" si="3"/>
        <v/>
      </c>
      <c r="R20" s="834"/>
      <c r="S20" s="834"/>
      <c r="T20" s="834"/>
      <c r="U20" s="835"/>
      <c r="V20" s="171" t="str">
        <f t="shared" si="4"/>
        <v/>
      </c>
      <c r="W20" s="172">
        <f>IF(OR(V20="",V20=0),0,(Projeto!$AD$8*((1+Projeto!$AD$8)^V20))/(((1+Projeto!$AD$8)^V20)-1))</f>
        <v>0</v>
      </c>
      <c r="X20" s="173">
        <f>IF(AND(K20&gt;0,CustoContabil!$E$6&gt;0),K20*(CustoContabil!$E$20/CustoContabil!$E$6)*W20,0)</f>
        <v>0</v>
      </c>
      <c r="Y20" s="173">
        <f>IF(AND(N20&gt;0,CustoContabil!$C$6&gt;0),N20*(CustoContabil!$C$20/CustoContabil!$C$6)*W20,0)</f>
        <v>0</v>
      </c>
      <c r="Z20" s="174"/>
    </row>
    <row r="21" spans="2:26" ht="15" customHeight="1" x14ac:dyDescent="0.25">
      <c r="B21" s="168">
        <v>16</v>
      </c>
      <c r="C21" s="827"/>
      <c r="D21" s="828"/>
      <c r="E21" s="828"/>
      <c r="F21" s="828"/>
      <c r="G21" s="828"/>
      <c r="H21" s="18"/>
      <c r="I21" s="2"/>
      <c r="J21" s="1"/>
      <c r="K21" s="143">
        <f t="shared" si="0"/>
        <v>0</v>
      </c>
      <c r="L21" s="1"/>
      <c r="M21" s="1"/>
      <c r="N21" s="143">
        <f t="shared" si="1"/>
        <v>0</v>
      </c>
      <c r="P21" s="168">
        <f t="shared" si="2"/>
        <v>16</v>
      </c>
      <c r="Q21" s="834" t="str">
        <f t="shared" si="3"/>
        <v/>
      </c>
      <c r="R21" s="834"/>
      <c r="S21" s="834"/>
      <c r="T21" s="834"/>
      <c r="U21" s="835"/>
      <c r="V21" s="171" t="str">
        <f t="shared" si="4"/>
        <v/>
      </c>
      <c r="W21" s="172">
        <f>IF(OR(V21="",V21=0),0,(Projeto!$AD$8*((1+Projeto!$AD$8)^V21))/(((1+Projeto!$AD$8)^V21)-1))</f>
        <v>0</v>
      </c>
      <c r="X21" s="173">
        <f>IF(AND(K21&gt;0,CustoContabil!$E$6&gt;0),K21*(CustoContabil!$E$20/CustoContabil!$E$6)*W21,0)</f>
        <v>0</v>
      </c>
      <c r="Y21" s="173">
        <f>IF(AND(N21&gt;0,CustoContabil!$C$6&gt;0),N21*(CustoContabil!$C$20/CustoContabil!$C$6)*W21,0)</f>
        <v>0</v>
      </c>
      <c r="Z21" s="174"/>
    </row>
    <row r="22" spans="2:26" ht="15" customHeight="1" x14ac:dyDescent="0.25">
      <c r="B22" s="168">
        <v>17</v>
      </c>
      <c r="C22" s="827"/>
      <c r="D22" s="828"/>
      <c r="E22" s="828"/>
      <c r="F22" s="828"/>
      <c r="G22" s="828"/>
      <c r="H22" s="18"/>
      <c r="I22" s="2"/>
      <c r="J22" s="1"/>
      <c r="K22" s="143">
        <f t="shared" si="0"/>
        <v>0</v>
      </c>
      <c r="L22" s="1"/>
      <c r="M22" s="1"/>
      <c r="N22" s="143">
        <f t="shared" si="1"/>
        <v>0</v>
      </c>
      <c r="P22" s="168">
        <f t="shared" si="2"/>
        <v>17</v>
      </c>
      <c r="Q22" s="834" t="str">
        <f t="shared" si="3"/>
        <v/>
      </c>
      <c r="R22" s="834"/>
      <c r="S22" s="834"/>
      <c r="T22" s="834"/>
      <c r="U22" s="835"/>
      <c r="V22" s="171" t="str">
        <f t="shared" si="4"/>
        <v/>
      </c>
      <c r="W22" s="172">
        <f>IF(OR(V22="",V22=0),0,(Projeto!$AD$8*((1+Projeto!$AD$8)^V22))/(((1+Projeto!$AD$8)^V22)-1))</f>
        <v>0</v>
      </c>
      <c r="X22" s="173">
        <f>IF(AND(K22&gt;0,CustoContabil!$E$6&gt;0),K22*(CustoContabil!$E$20/CustoContabil!$E$6)*W22,0)</f>
        <v>0</v>
      </c>
      <c r="Y22" s="173">
        <f>IF(AND(N22&gt;0,CustoContabil!$C$6&gt;0),N22*(CustoContabil!$C$20/CustoContabil!$C$6)*W22,0)</f>
        <v>0</v>
      </c>
      <c r="Z22" s="174"/>
    </row>
    <row r="23" spans="2:26" ht="15" customHeight="1" x14ac:dyDescent="0.25">
      <c r="B23" s="168">
        <v>18</v>
      </c>
      <c r="C23" s="827"/>
      <c r="D23" s="828"/>
      <c r="E23" s="828"/>
      <c r="F23" s="828"/>
      <c r="G23" s="828"/>
      <c r="H23" s="18"/>
      <c r="I23" s="2"/>
      <c r="J23" s="1"/>
      <c r="K23" s="143">
        <f t="shared" si="0"/>
        <v>0</v>
      </c>
      <c r="L23" s="1"/>
      <c r="M23" s="1"/>
      <c r="N23" s="143">
        <f t="shared" si="1"/>
        <v>0</v>
      </c>
      <c r="P23" s="168">
        <f t="shared" si="2"/>
        <v>18</v>
      </c>
      <c r="Q23" s="834" t="str">
        <f t="shared" si="3"/>
        <v/>
      </c>
      <c r="R23" s="834"/>
      <c r="S23" s="834"/>
      <c r="T23" s="834"/>
      <c r="U23" s="835"/>
      <c r="V23" s="171" t="str">
        <f t="shared" si="4"/>
        <v/>
      </c>
      <c r="W23" s="172">
        <f>IF(OR(V23="",V23=0),0,(Projeto!$AD$8*((1+Projeto!$AD$8)^V23))/(((1+Projeto!$AD$8)^V23)-1))</f>
        <v>0</v>
      </c>
      <c r="X23" s="173">
        <f>IF(AND(K23&gt;0,CustoContabil!$E$6&gt;0),K23*(CustoContabil!$E$20/CustoContabil!$E$6)*W23,0)</f>
        <v>0</v>
      </c>
      <c r="Y23" s="173">
        <f>IF(AND(N23&gt;0,CustoContabil!$C$6&gt;0),N23*(CustoContabil!$C$20/CustoContabil!$C$6)*W23,0)</f>
        <v>0</v>
      </c>
      <c r="Z23" s="174"/>
    </row>
    <row r="24" spans="2:26" ht="15" customHeight="1" x14ac:dyDescent="0.25">
      <c r="B24" s="168">
        <v>19</v>
      </c>
      <c r="C24" s="827"/>
      <c r="D24" s="828"/>
      <c r="E24" s="828"/>
      <c r="F24" s="828"/>
      <c r="G24" s="828"/>
      <c r="H24" s="18"/>
      <c r="I24" s="2"/>
      <c r="J24" s="1"/>
      <c r="K24" s="143">
        <f t="shared" si="0"/>
        <v>0</v>
      </c>
      <c r="L24" s="1"/>
      <c r="M24" s="1"/>
      <c r="N24" s="143">
        <f t="shared" si="1"/>
        <v>0</v>
      </c>
      <c r="P24" s="168">
        <f t="shared" si="2"/>
        <v>19</v>
      </c>
      <c r="Q24" s="834" t="str">
        <f t="shared" si="3"/>
        <v/>
      </c>
      <c r="R24" s="834"/>
      <c r="S24" s="834"/>
      <c r="T24" s="834"/>
      <c r="U24" s="835"/>
      <c r="V24" s="171" t="str">
        <f t="shared" si="4"/>
        <v/>
      </c>
      <c r="W24" s="172">
        <f>IF(OR(V24="",V24=0),0,(Projeto!$AD$8*((1+Projeto!$AD$8)^V24))/(((1+Projeto!$AD$8)^V24)-1))</f>
        <v>0</v>
      </c>
      <c r="X24" s="173">
        <f>IF(AND(K24&gt;0,CustoContabil!$E$6&gt;0),K24*(CustoContabil!$E$20/CustoContabil!$E$6)*W24,0)</f>
        <v>0</v>
      </c>
      <c r="Y24" s="173">
        <f>IF(AND(N24&gt;0,CustoContabil!$C$6&gt;0),N24*(CustoContabil!$C$20/CustoContabil!$C$6)*W24,0)</f>
        <v>0</v>
      </c>
      <c r="Z24" s="174"/>
    </row>
    <row r="25" spans="2:26" ht="15" customHeight="1" x14ac:dyDescent="0.25">
      <c r="B25" s="168">
        <v>20</v>
      </c>
      <c r="C25" s="827"/>
      <c r="D25" s="828"/>
      <c r="E25" s="828"/>
      <c r="F25" s="828"/>
      <c r="G25" s="828"/>
      <c r="H25" s="18"/>
      <c r="I25" s="2"/>
      <c r="J25" s="1"/>
      <c r="K25" s="143">
        <f t="shared" si="0"/>
        <v>0</v>
      </c>
      <c r="L25" s="1"/>
      <c r="M25" s="1"/>
      <c r="N25" s="143">
        <f t="shared" si="1"/>
        <v>0</v>
      </c>
      <c r="P25" s="168">
        <f t="shared" si="2"/>
        <v>20</v>
      </c>
      <c r="Q25" s="834" t="str">
        <f t="shared" si="3"/>
        <v/>
      </c>
      <c r="R25" s="834"/>
      <c r="S25" s="834"/>
      <c r="T25" s="834"/>
      <c r="U25" s="835"/>
      <c r="V25" s="171" t="str">
        <f t="shared" si="4"/>
        <v/>
      </c>
      <c r="W25" s="172">
        <f>IF(OR(V25="",V25=0),0,(Projeto!$AD$8*((1+Projeto!$AD$8)^V25))/(((1+Projeto!$AD$8)^V25)-1))</f>
        <v>0</v>
      </c>
      <c r="X25" s="173">
        <f>IF(AND(K25&gt;0,CustoContabil!$E$6&gt;0),K25*(CustoContabil!$E$20/CustoContabil!$E$6)*W25,0)</f>
        <v>0</v>
      </c>
      <c r="Y25" s="173">
        <f>IF(AND(N25&gt;0,CustoContabil!$C$6&gt;0),N25*(CustoContabil!$C$20/CustoContabil!$C$6)*W25,0)</f>
        <v>0</v>
      </c>
      <c r="Z25" s="174"/>
    </row>
    <row r="26" spans="2:26" ht="15" customHeight="1" x14ac:dyDescent="0.25">
      <c r="B26" s="168"/>
      <c r="C26" s="846" t="s">
        <v>4066</v>
      </c>
      <c r="D26" s="847"/>
      <c r="E26" s="847"/>
      <c r="F26" s="847"/>
      <c r="G26" s="847"/>
      <c r="H26" s="179">
        <v>20</v>
      </c>
      <c r="I26" s="3"/>
      <c r="J26" s="1"/>
      <c r="K26" s="143">
        <f>N26-L26-M26</f>
        <v>0</v>
      </c>
      <c r="L26" s="1"/>
      <c r="M26" s="1"/>
      <c r="N26" s="143">
        <f>I26*J26</f>
        <v>0</v>
      </c>
      <c r="P26" s="168"/>
      <c r="Q26" s="834" t="str">
        <f>IF(OR(C26=0,C26=""),"",C26)</f>
        <v>Acessórios</v>
      </c>
      <c r="R26" s="834"/>
      <c r="S26" s="834"/>
      <c r="T26" s="834"/>
      <c r="U26" s="835"/>
      <c r="V26" s="171" t="str">
        <f>IF(N26=0,"",H26)</f>
        <v/>
      </c>
      <c r="W26" s="172">
        <f>IF(OR(V26="",V26=0),0,(Projeto!$AD$8*((1+Projeto!$AD$8)^V26))/(((1+Projeto!$AD$8)^V26)-1))</f>
        <v>0</v>
      </c>
      <c r="X26" s="173">
        <f>IF(AND(K26&gt;0,CustoContabil!$E$6&gt;0),K26*(CustoContabil!$E$20/CustoContabil!$E$6)*W26,0)</f>
        <v>0</v>
      </c>
      <c r="Y26" s="173">
        <f>IF(AND(N26&gt;0,CustoContabil!$C$6&gt;0),N26*(CustoContabil!$C$20/CustoContabil!$C$6)*W26,0)</f>
        <v>0</v>
      </c>
    </row>
    <row r="27" spans="2:26" ht="15" customHeight="1" x14ac:dyDescent="0.25">
      <c r="B27" s="180"/>
      <c r="C27" s="844" t="s">
        <v>5154</v>
      </c>
      <c r="D27" s="844"/>
      <c r="E27" s="844"/>
      <c r="F27" s="844"/>
      <c r="G27" s="844"/>
      <c r="H27" s="844"/>
      <c r="I27" s="844"/>
      <c r="J27" s="845"/>
      <c r="K27" s="181">
        <f>SUM(K6:K26)</f>
        <v>0</v>
      </c>
      <c r="L27" s="181">
        <f>SUM(L6:L26)</f>
        <v>0</v>
      </c>
      <c r="M27" s="181">
        <f>SUM(M6:M26)</f>
        <v>0</v>
      </c>
      <c r="N27" s="181">
        <f>SUM(N6:N26)</f>
        <v>0</v>
      </c>
      <c r="P27" s="883" t="s">
        <v>5152</v>
      </c>
      <c r="Q27" s="884"/>
      <c r="R27" s="884"/>
      <c r="S27" s="884"/>
      <c r="T27" s="884"/>
      <c r="U27" s="884"/>
      <c r="V27" s="885"/>
      <c r="W27" s="182" t="s">
        <v>5153</v>
      </c>
      <c r="X27" s="183">
        <f>SUM(X6:X26)</f>
        <v>0</v>
      </c>
      <c r="Y27" s="183">
        <f>SUM(Y6:Y26)</f>
        <v>0</v>
      </c>
    </row>
    <row r="28" spans="2:26" ht="15" customHeight="1" x14ac:dyDescent="0.25">
      <c r="B28" s="886" t="s">
        <v>4070</v>
      </c>
      <c r="C28" s="887"/>
      <c r="D28" s="887"/>
      <c r="E28" s="887"/>
      <c r="F28" s="887"/>
      <c r="G28" s="887"/>
      <c r="H28" s="887"/>
      <c r="I28" s="887"/>
      <c r="J28" s="888"/>
      <c r="K28" s="886" t="s">
        <v>3909</v>
      </c>
      <c r="L28" s="887"/>
      <c r="M28" s="887"/>
      <c r="N28" s="888"/>
      <c r="P28" s="184"/>
      <c r="Q28" s="184"/>
      <c r="R28" s="185"/>
      <c r="S28" s="186"/>
      <c r="T28" s="186"/>
      <c r="U28" s="186"/>
      <c r="V28" s="187"/>
      <c r="W28" s="188"/>
    </row>
    <row r="29" spans="2:26" ht="15" customHeight="1" x14ac:dyDescent="0.35">
      <c r="B29" s="889"/>
      <c r="C29" s="890"/>
      <c r="D29" s="890"/>
      <c r="E29" s="890"/>
      <c r="F29" s="890"/>
      <c r="G29" s="890"/>
      <c r="H29" s="890"/>
      <c r="I29" s="890"/>
      <c r="J29" s="891"/>
      <c r="K29" s="889"/>
      <c r="L29" s="890"/>
      <c r="M29" s="890"/>
      <c r="N29" s="891"/>
      <c r="P29" s="189" t="s">
        <v>5150</v>
      </c>
      <c r="Q29" s="190"/>
      <c r="R29" s="191">
        <f>RCB!G14</f>
        <v>0</v>
      </c>
      <c r="T29" s="189" t="s">
        <v>5151</v>
      </c>
      <c r="U29" s="190"/>
      <c r="V29" s="191">
        <f>RCB!J14</f>
        <v>0</v>
      </c>
    </row>
    <row r="30" spans="2:26" ht="15" customHeight="1" x14ac:dyDescent="0.35">
      <c r="B30" s="850" t="s">
        <v>3920</v>
      </c>
      <c r="C30" s="879"/>
      <c r="D30" s="879"/>
      <c r="E30" s="879"/>
      <c r="F30" s="879"/>
      <c r="G30" s="880"/>
      <c r="H30" s="137" t="s">
        <v>3980</v>
      </c>
      <c r="I30" s="535" t="s">
        <v>697</v>
      </c>
      <c r="J30" s="535" t="s">
        <v>4073</v>
      </c>
      <c r="K30" s="167" t="s">
        <v>3982</v>
      </c>
      <c r="L30" s="137" t="s">
        <v>4060</v>
      </c>
      <c r="M30" s="137" t="s">
        <v>4061</v>
      </c>
      <c r="N30" s="138" t="s">
        <v>4062</v>
      </c>
      <c r="P30" s="189" t="s">
        <v>4074</v>
      </c>
      <c r="Q30" s="190"/>
      <c r="R30" s="191">
        <f>RCB!$H$7</f>
        <v>0</v>
      </c>
      <c r="T30" s="189" t="s">
        <v>4075</v>
      </c>
      <c r="U30" s="190"/>
      <c r="V30" s="191">
        <f>RCB!$K$7</f>
        <v>0</v>
      </c>
    </row>
    <row r="31" spans="2:26" ht="15" customHeight="1" x14ac:dyDescent="0.25">
      <c r="B31" s="168">
        <v>1</v>
      </c>
      <c r="C31" s="881" t="s">
        <v>4076</v>
      </c>
      <c r="D31" s="881"/>
      <c r="E31" s="881"/>
      <c r="F31" s="881"/>
      <c r="G31" s="882"/>
      <c r="H31" s="19"/>
      <c r="I31" s="2"/>
      <c r="J31" s="1"/>
      <c r="K31" s="143">
        <f t="shared" ref="K31:K37" si="5">N31-L31-M31</f>
        <v>0</v>
      </c>
      <c r="L31" s="143">
        <v>0</v>
      </c>
      <c r="M31" s="143">
        <v>0</v>
      </c>
      <c r="N31" s="143">
        <f>H31*I31*J31</f>
        <v>0</v>
      </c>
    </row>
    <row r="32" spans="2:26" ht="15" customHeight="1" x14ac:dyDescent="0.25">
      <c r="B32" s="175">
        <v>2</v>
      </c>
      <c r="C32" s="881" t="s">
        <v>4077</v>
      </c>
      <c r="D32" s="881"/>
      <c r="E32" s="881"/>
      <c r="F32" s="881"/>
      <c r="G32" s="882"/>
      <c r="H32" s="6"/>
      <c r="I32" s="3"/>
      <c r="J32" s="1"/>
      <c r="K32" s="143">
        <f t="shared" si="5"/>
        <v>0</v>
      </c>
      <c r="L32" s="143">
        <v>0</v>
      </c>
      <c r="M32" s="143">
        <v>0</v>
      </c>
      <c r="N32" s="143">
        <f t="shared" ref="N32:N37" si="6">H32*I32*J32</f>
        <v>0</v>
      </c>
    </row>
    <row r="33" spans="2:16" ht="15" customHeight="1" x14ac:dyDescent="0.25">
      <c r="B33" s="168">
        <v>3</v>
      </c>
      <c r="C33" s="881" t="s">
        <v>4078</v>
      </c>
      <c r="D33" s="881"/>
      <c r="E33" s="881"/>
      <c r="F33" s="881"/>
      <c r="G33" s="882"/>
      <c r="H33" s="6"/>
      <c r="I33" s="3"/>
      <c r="J33" s="1"/>
      <c r="K33" s="143">
        <f t="shared" si="5"/>
        <v>0</v>
      </c>
      <c r="L33" s="143">
        <v>0</v>
      </c>
      <c r="M33" s="143">
        <v>0</v>
      </c>
      <c r="N33" s="143">
        <f>H33*I33*J33</f>
        <v>0</v>
      </c>
    </row>
    <row r="34" spans="2:16" ht="15" customHeight="1" x14ac:dyDescent="0.25">
      <c r="B34" s="175">
        <v>4</v>
      </c>
      <c r="C34" s="959"/>
      <c r="D34" s="959"/>
      <c r="E34" s="959"/>
      <c r="F34" s="959"/>
      <c r="G34" s="960"/>
      <c r="H34" s="6"/>
      <c r="I34" s="3"/>
      <c r="J34" s="1"/>
      <c r="K34" s="143">
        <f t="shared" si="5"/>
        <v>0</v>
      </c>
      <c r="L34" s="143">
        <v>0</v>
      </c>
      <c r="M34" s="143">
        <v>0</v>
      </c>
      <c r="N34" s="143">
        <f t="shared" si="6"/>
        <v>0</v>
      </c>
    </row>
    <row r="35" spans="2:16" ht="15" customHeight="1" x14ac:dyDescent="0.25">
      <c r="B35" s="168">
        <v>5</v>
      </c>
      <c r="C35" s="959"/>
      <c r="D35" s="959"/>
      <c r="E35" s="959"/>
      <c r="F35" s="959"/>
      <c r="G35" s="960"/>
      <c r="H35" s="6"/>
      <c r="I35" s="3"/>
      <c r="J35" s="1"/>
      <c r="K35" s="143">
        <f t="shared" si="5"/>
        <v>0</v>
      </c>
      <c r="L35" s="143">
        <v>0</v>
      </c>
      <c r="M35" s="143">
        <v>0</v>
      </c>
      <c r="N35" s="143">
        <f t="shared" si="6"/>
        <v>0</v>
      </c>
    </row>
    <row r="36" spans="2:16" ht="15" customHeight="1" x14ac:dyDescent="0.25">
      <c r="B36" s="175">
        <v>6</v>
      </c>
      <c r="C36" s="876"/>
      <c r="D36" s="876"/>
      <c r="E36" s="876"/>
      <c r="F36" s="876"/>
      <c r="G36" s="827"/>
      <c r="H36" s="6"/>
      <c r="I36" s="3"/>
      <c r="J36" s="1"/>
      <c r="K36" s="143">
        <f t="shared" si="5"/>
        <v>0</v>
      </c>
      <c r="L36" s="143">
        <v>0</v>
      </c>
      <c r="M36" s="143">
        <v>0</v>
      </c>
      <c r="N36" s="143">
        <f t="shared" si="6"/>
        <v>0</v>
      </c>
    </row>
    <row r="37" spans="2:16" ht="15" customHeight="1" x14ac:dyDescent="0.25">
      <c r="B37" s="168">
        <v>7</v>
      </c>
      <c r="C37" s="876"/>
      <c r="D37" s="876"/>
      <c r="E37" s="876"/>
      <c r="F37" s="876"/>
      <c r="G37" s="827"/>
      <c r="H37" s="6"/>
      <c r="I37" s="3"/>
      <c r="J37" s="1"/>
      <c r="K37" s="143">
        <f t="shared" si="5"/>
        <v>0</v>
      </c>
      <c r="L37" s="143">
        <v>0</v>
      </c>
      <c r="M37" s="143">
        <v>0</v>
      </c>
      <c r="N37" s="143">
        <f t="shared" si="6"/>
        <v>0</v>
      </c>
    </row>
    <row r="38" spans="2:16" ht="15" customHeight="1" x14ac:dyDescent="0.25">
      <c r="B38" s="195"/>
      <c r="C38" s="877" t="s">
        <v>4857</v>
      </c>
      <c r="D38" s="877"/>
      <c r="E38" s="877"/>
      <c r="F38" s="877"/>
      <c r="G38" s="877"/>
      <c r="H38" s="877"/>
      <c r="I38" s="877"/>
      <c r="J38" s="878"/>
      <c r="K38" s="143">
        <f>SUM(K31:K37)</f>
        <v>0</v>
      </c>
      <c r="L38" s="143">
        <f>SUM(L31:L37)</f>
        <v>0</v>
      </c>
      <c r="M38" s="143">
        <f>SUM(M31:M37)</f>
        <v>0</v>
      </c>
      <c r="N38" s="143">
        <f>SUM(N31:N37)</f>
        <v>0</v>
      </c>
    </row>
    <row r="39" spans="2:16" x14ac:dyDescent="0.25">
      <c r="B39" s="180"/>
      <c r="C39" s="844" t="s">
        <v>5148</v>
      </c>
      <c r="D39" s="844"/>
      <c r="E39" s="844"/>
      <c r="F39" s="844"/>
      <c r="G39" s="844"/>
      <c r="H39" s="844"/>
      <c r="I39" s="844"/>
      <c r="J39" s="845"/>
      <c r="K39" s="181">
        <f>SUM(K27,K38)</f>
        <v>0</v>
      </c>
      <c r="L39" s="181">
        <f>SUM(L27,L38)</f>
        <v>0</v>
      </c>
      <c r="M39" s="181">
        <f>SUM(M27,M38)</f>
        <v>0</v>
      </c>
      <c r="N39" s="181">
        <f>SUM(N27,N38)</f>
        <v>0</v>
      </c>
    </row>
    <row r="40" spans="2:16" ht="15" customHeight="1" x14ac:dyDescent="0.25">
      <c r="B40" s="649" t="s">
        <v>3922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1"/>
    </row>
    <row r="41" spans="2:16" ht="15" customHeight="1" x14ac:dyDescent="0.25">
      <c r="B41" s="829" t="s">
        <v>4081</v>
      </c>
      <c r="C41" s="830"/>
      <c r="D41" s="830"/>
      <c r="E41" s="830"/>
      <c r="F41" s="830"/>
      <c r="G41" s="830"/>
      <c r="H41" s="830"/>
      <c r="I41" s="830"/>
      <c r="J41" s="830"/>
      <c r="K41" s="797" t="s">
        <v>3909</v>
      </c>
      <c r="L41" s="797"/>
      <c r="M41" s="797"/>
      <c r="N41" s="797"/>
    </row>
    <row r="42" spans="2:16" ht="15" customHeight="1" x14ac:dyDescent="0.25">
      <c r="B42" s="850" t="s">
        <v>3925</v>
      </c>
      <c r="C42" s="851"/>
      <c r="D42" s="851"/>
      <c r="E42" s="851"/>
      <c r="F42" s="851"/>
      <c r="G42" s="851"/>
      <c r="H42" s="852"/>
      <c r="I42" s="535" t="s">
        <v>3980</v>
      </c>
      <c r="J42" s="535" t="s">
        <v>3981</v>
      </c>
      <c r="K42" s="167" t="s">
        <v>3982</v>
      </c>
      <c r="L42" s="137" t="s">
        <v>4060</v>
      </c>
      <c r="M42" s="137" t="s">
        <v>4061</v>
      </c>
      <c r="N42" s="138" t="s">
        <v>4062</v>
      </c>
      <c r="P42" s="72"/>
    </row>
    <row r="43" spans="2:16" ht="15" customHeight="1" x14ac:dyDescent="0.25">
      <c r="B43" s="196">
        <v>1</v>
      </c>
      <c r="C43" s="842"/>
      <c r="D43" s="842"/>
      <c r="E43" s="842"/>
      <c r="F43" s="842"/>
      <c r="G43" s="842"/>
      <c r="H43" s="843"/>
      <c r="I43" s="3"/>
      <c r="J43" s="1"/>
      <c r="K43" s="143">
        <f>N43-L43-M43</f>
        <v>0</v>
      </c>
      <c r="L43" s="143">
        <v>0</v>
      </c>
      <c r="M43" s="143">
        <v>0</v>
      </c>
      <c r="N43" s="143">
        <f>I43*J43</f>
        <v>0</v>
      </c>
    </row>
    <row r="44" spans="2:16" ht="15" customHeight="1" x14ac:dyDescent="0.25">
      <c r="B44" s="196">
        <v>2</v>
      </c>
      <c r="C44" s="842"/>
      <c r="D44" s="842"/>
      <c r="E44" s="842"/>
      <c r="F44" s="842"/>
      <c r="G44" s="842"/>
      <c r="H44" s="843"/>
      <c r="I44" s="3"/>
      <c r="J44" s="1"/>
      <c r="K44" s="143">
        <f>N44-L44-M44</f>
        <v>0</v>
      </c>
      <c r="L44" s="143">
        <v>0</v>
      </c>
      <c r="M44" s="143">
        <v>0</v>
      </c>
      <c r="N44" s="143">
        <f t="shared" ref="N44:N46" si="7">I44*J44</f>
        <v>0</v>
      </c>
    </row>
    <row r="45" spans="2:16" ht="15" customHeight="1" x14ac:dyDescent="0.25">
      <c r="B45" s="196">
        <v>3</v>
      </c>
      <c r="C45" s="842"/>
      <c r="D45" s="842"/>
      <c r="E45" s="842"/>
      <c r="F45" s="842"/>
      <c r="G45" s="842"/>
      <c r="H45" s="843"/>
      <c r="I45" s="3"/>
      <c r="J45" s="1"/>
      <c r="K45" s="143">
        <f>N45-L45-M45</f>
        <v>0</v>
      </c>
      <c r="L45" s="143">
        <v>0</v>
      </c>
      <c r="M45" s="143">
        <v>0</v>
      </c>
      <c r="N45" s="143">
        <f t="shared" si="7"/>
        <v>0</v>
      </c>
    </row>
    <row r="46" spans="2:16" ht="15" customHeight="1" x14ac:dyDescent="0.25">
      <c r="B46" s="196">
        <v>4</v>
      </c>
      <c r="C46" s="842"/>
      <c r="D46" s="842"/>
      <c r="E46" s="842"/>
      <c r="F46" s="842"/>
      <c r="G46" s="842"/>
      <c r="H46" s="843"/>
      <c r="I46" s="3"/>
      <c r="J46" s="1"/>
      <c r="K46" s="143">
        <f>N46-L46-M46</f>
        <v>0</v>
      </c>
      <c r="L46" s="143">
        <f>SUM(L43:L45)</f>
        <v>0</v>
      </c>
      <c r="M46" s="143">
        <f>SUM(M43:M45)</f>
        <v>0</v>
      </c>
      <c r="N46" s="143">
        <f t="shared" si="7"/>
        <v>0</v>
      </c>
    </row>
    <row r="47" spans="2:16" ht="15" customHeight="1" x14ac:dyDescent="0.25">
      <c r="B47" s="195"/>
      <c r="C47" s="848" t="s">
        <v>3925</v>
      </c>
      <c r="D47" s="848"/>
      <c r="E47" s="848"/>
      <c r="F47" s="848"/>
      <c r="G47" s="848"/>
      <c r="H47" s="848"/>
      <c r="I47" s="848"/>
      <c r="J47" s="849"/>
      <c r="K47" s="143">
        <f>SUM(K43:K46)</f>
        <v>0</v>
      </c>
      <c r="L47" s="143">
        <v>0</v>
      </c>
      <c r="M47" s="143">
        <v>0</v>
      </c>
      <c r="N47" s="143">
        <f>SUM(N43:N46)</f>
        <v>0</v>
      </c>
    </row>
    <row r="48" spans="2:16" ht="15" customHeight="1" x14ac:dyDescent="0.25">
      <c r="B48" s="195"/>
      <c r="C48" s="848" t="s">
        <v>3927</v>
      </c>
      <c r="D48" s="848"/>
      <c r="E48" s="848"/>
      <c r="F48" s="848"/>
      <c r="G48" s="848"/>
      <c r="H48" s="848"/>
      <c r="I48" s="848"/>
      <c r="J48" s="849"/>
      <c r="K48" s="143">
        <f>'M&amp;V'!M453</f>
        <v>0</v>
      </c>
      <c r="L48" s="143">
        <v>0</v>
      </c>
      <c r="M48" s="143">
        <v>0</v>
      </c>
      <c r="N48" s="143">
        <f>'M&amp;V'!N453</f>
        <v>0</v>
      </c>
    </row>
    <row r="49" spans="2:25" ht="15" customHeight="1" x14ac:dyDescent="0.25">
      <c r="B49" s="850" t="s">
        <v>3929</v>
      </c>
      <c r="C49" s="851"/>
      <c r="D49" s="851"/>
      <c r="E49" s="851"/>
      <c r="F49" s="851"/>
      <c r="G49" s="851"/>
      <c r="H49" s="852"/>
      <c r="I49" s="535" t="s">
        <v>3980</v>
      </c>
      <c r="J49" s="535" t="s">
        <v>3981</v>
      </c>
      <c r="K49" s="167" t="s">
        <v>3982</v>
      </c>
      <c r="L49" s="137" t="s">
        <v>4060</v>
      </c>
      <c r="M49" s="137" t="s">
        <v>4061</v>
      </c>
      <c r="N49" s="138" t="s">
        <v>4062</v>
      </c>
      <c r="P49" s="72"/>
    </row>
    <row r="50" spans="2:25" ht="15" customHeight="1" x14ac:dyDescent="0.25">
      <c r="B50" s="196">
        <v>1</v>
      </c>
      <c r="C50" s="842"/>
      <c r="D50" s="842"/>
      <c r="E50" s="842"/>
      <c r="F50" s="842"/>
      <c r="G50" s="842"/>
      <c r="H50" s="843"/>
      <c r="I50" s="3"/>
      <c r="J50" s="1"/>
      <c r="K50" s="143">
        <f>N50-L50-M50</f>
        <v>0</v>
      </c>
      <c r="L50" s="143">
        <v>0</v>
      </c>
      <c r="M50" s="143">
        <v>0</v>
      </c>
      <c r="N50" s="143">
        <f>I50*J50</f>
        <v>0</v>
      </c>
    </row>
    <row r="51" spans="2:25" ht="15" customHeight="1" x14ac:dyDescent="0.25">
      <c r="B51" s="196">
        <v>2</v>
      </c>
      <c r="C51" s="842"/>
      <c r="D51" s="842"/>
      <c r="E51" s="842"/>
      <c r="F51" s="842"/>
      <c r="G51" s="842"/>
      <c r="H51" s="843"/>
      <c r="I51" s="3"/>
      <c r="J51" s="1"/>
      <c r="K51" s="143">
        <f>N51-L51-M51</f>
        <v>0</v>
      </c>
      <c r="L51" s="143">
        <v>0</v>
      </c>
      <c r="M51" s="143">
        <v>0</v>
      </c>
      <c r="N51" s="143">
        <f>I51*J51</f>
        <v>0</v>
      </c>
    </row>
    <row r="52" spans="2:25" ht="15" customHeight="1" x14ac:dyDescent="0.25">
      <c r="B52" s="196">
        <v>3</v>
      </c>
      <c r="C52" s="842"/>
      <c r="D52" s="842"/>
      <c r="E52" s="842"/>
      <c r="F52" s="842"/>
      <c r="G52" s="842"/>
      <c r="H52" s="843"/>
      <c r="I52" s="3"/>
      <c r="J52" s="1"/>
      <c r="K52" s="143">
        <f>N52-L52-M52</f>
        <v>0</v>
      </c>
      <c r="L52" s="143">
        <v>0</v>
      </c>
      <c r="M52" s="143">
        <v>0</v>
      </c>
      <c r="N52" s="143">
        <f>I52*J52</f>
        <v>0</v>
      </c>
    </row>
    <row r="53" spans="2:25" ht="15" customHeight="1" x14ac:dyDescent="0.25">
      <c r="B53" s="195"/>
      <c r="C53" s="848" t="s">
        <v>3929</v>
      </c>
      <c r="D53" s="848"/>
      <c r="E53" s="848"/>
      <c r="F53" s="848"/>
      <c r="G53" s="848"/>
      <c r="H53" s="848"/>
      <c r="I53" s="848"/>
      <c r="J53" s="849"/>
      <c r="K53" s="143">
        <f>SUM(K50:K52)</f>
        <v>0</v>
      </c>
      <c r="L53" s="143">
        <f>SUM(L50:L52)</f>
        <v>0</v>
      </c>
      <c r="M53" s="143">
        <f>SUM(M50:M52)</f>
        <v>0</v>
      </c>
      <c r="N53" s="143">
        <f>SUM(N50:N52)</f>
        <v>0</v>
      </c>
    </row>
    <row r="54" spans="2:25" ht="15" customHeight="1" x14ac:dyDescent="0.25">
      <c r="B54" s="197"/>
      <c r="C54" s="895" t="s">
        <v>4859</v>
      </c>
      <c r="D54" s="895"/>
      <c r="E54" s="895"/>
      <c r="F54" s="895"/>
      <c r="G54" s="895"/>
      <c r="H54" s="895"/>
      <c r="I54" s="895"/>
      <c r="J54" s="896"/>
      <c r="K54" s="148">
        <f>SUM(K46:K48,K53)</f>
        <v>0</v>
      </c>
      <c r="L54" s="148">
        <f>SUM(L46:L48,L53)</f>
        <v>0</v>
      </c>
      <c r="M54" s="148">
        <f>SUM(M46:M48,M53)</f>
        <v>0</v>
      </c>
      <c r="N54" s="148">
        <f>SUM(N46:N48,N53)</f>
        <v>0</v>
      </c>
    </row>
    <row r="55" spans="2:25" ht="15" customHeight="1" x14ac:dyDescent="0.25">
      <c r="B55" s="198"/>
      <c r="C55" s="823" t="s">
        <v>5149</v>
      </c>
      <c r="D55" s="823"/>
      <c r="E55" s="823"/>
      <c r="F55" s="823"/>
      <c r="G55" s="823"/>
      <c r="H55" s="823"/>
      <c r="I55" s="823"/>
      <c r="J55" s="824"/>
      <c r="K55" s="183">
        <f>SUM(K39,K54)</f>
        <v>0</v>
      </c>
      <c r="L55" s="183">
        <f>SUM(L39,L54)</f>
        <v>0</v>
      </c>
      <c r="M55" s="183">
        <f>SUM(M39,M54)</f>
        <v>0</v>
      </c>
      <c r="N55" s="183">
        <f>SUM(N39,N54)</f>
        <v>0</v>
      </c>
    </row>
    <row r="56" spans="2:25" ht="15" customHeight="1" x14ac:dyDescent="0.25">
      <c r="I56" s="199"/>
      <c r="K56" s="174"/>
      <c r="N56" s="174"/>
    </row>
    <row r="57" spans="2:25" ht="15" hidden="1" customHeight="1" x14ac:dyDescent="0.25">
      <c r="B57" s="858" t="s">
        <v>4039</v>
      </c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60"/>
      <c r="P57" s="826" t="str">
        <f>B57</f>
        <v>OUTROS - EX POST</v>
      </c>
      <c r="Q57" s="826"/>
      <c r="R57" s="826"/>
      <c r="S57" s="826"/>
      <c r="T57" s="826"/>
      <c r="U57" s="826"/>
      <c r="V57" s="826"/>
      <c r="W57" s="826"/>
      <c r="X57" s="826"/>
      <c r="Y57" s="826"/>
    </row>
    <row r="58" spans="2:25" ht="15" hidden="1" customHeight="1" x14ac:dyDescent="0.25">
      <c r="B58" s="858" t="s">
        <v>3932</v>
      </c>
      <c r="C58" s="859"/>
      <c r="D58" s="859"/>
      <c r="E58" s="859"/>
      <c r="F58" s="859"/>
      <c r="G58" s="859"/>
      <c r="H58" s="859"/>
      <c r="I58" s="859"/>
      <c r="J58" s="859"/>
      <c r="K58" s="859"/>
      <c r="L58" s="859"/>
      <c r="M58" s="859"/>
      <c r="N58" s="860"/>
      <c r="P58" s="826" t="s">
        <v>4085</v>
      </c>
      <c r="Q58" s="826"/>
      <c r="R58" s="826"/>
      <c r="S58" s="826"/>
      <c r="T58" s="826"/>
      <c r="U58" s="826"/>
      <c r="V58" s="826"/>
      <c r="W58" s="826"/>
      <c r="X58" s="826"/>
      <c r="Y58" s="826"/>
    </row>
    <row r="59" spans="2:25" ht="15" hidden="1" customHeight="1" x14ac:dyDescent="0.25">
      <c r="B59" s="861" t="s">
        <v>4056</v>
      </c>
      <c r="C59" s="862"/>
      <c r="D59" s="862"/>
      <c r="E59" s="862"/>
      <c r="F59" s="862"/>
      <c r="G59" s="862"/>
      <c r="H59" s="862"/>
      <c r="I59" s="862"/>
      <c r="J59" s="862"/>
      <c r="K59" s="857" t="s">
        <v>3909</v>
      </c>
      <c r="L59" s="857"/>
      <c r="M59" s="857"/>
      <c r="N59" s="857"/>
      <c r="P59" s="861" t="s">
        <v>4057</v>
      </c>
      <c r="Q59" s="862"/>
      <c r="R59" s="862"/>
      <c r="S59" s="862"/>
      <c r="T59" s="862"/>
      <c r="U59" s="862"/>
      <c r="V59" s="862"/>
      <c r="W59" s="862"/>
      <c r="X59" s="892"/>
      <c r="Y59" s="524" t="s">
        <v>4058</v>
      </c>
    </row>
    <row r="60" spans="2:25" ht="15" hidden="1" customHeight="1" x14ac:dyDescent="0.25">
      <c r="B60" s="897" t="s">
        <v>3919</v>
      </c>
      <c r="C60" s="897"/>
      <c r="D60" s="897"/>
      <c r="E60" s="898"/>
      <c r="F60" s="898"/>
      <c r="G60" s="898"/>
      <c r="H60" s="543" t="s">
        <v>4059</v>
      </c>
      <c r="I60" s="543" t="s">
        <v>3980</v>
      </c>
      <c r="J60" s="543" t="s">
        <v>3981</v>
      </c>
      <c r="K60" s="200" t="s">
        <v>3982</v>
      </c>
      <c r="L60" s="152" t="s">
        <v>4086</v>
      </c>
      <c r="M60" s="152" t="s">
        <v>4087</v>
      </c>
      <c r="N60" s="153" t="s">
        <v>4062</v>
      </c>
      <c r="P60" s="897" t="str">
        <f>B60</f>
        <v>Materiais e equipamentos</v>
      </c>
      <c r="Q60" s="897"/>
      <c r="R60" s="897"/>
      <c r="S60" s="898"/>
      <c r="T60" s="898"/>
      <c r="U60" s="898"/>
      <c r="V60" s="543" t="s">
        <v>4059</v>
      </c>
      <c r="W60" s="200" t="s">
        <v>4063</v>
      </c>
      <c r="X60" s="153" t="s">
        <v>4064</v>
      </c>
      <c r="Y60" s="153" t="s">
        <v>4065</v>
      </c>
    </row>
    <row r="61" spans="2:25" ht="15" hidden="1" customHeight="1" x14ac:dyDescent="0.25">
      <c r="B61" s="201">
        <v>1</v>
      </c>
      <c r="C61" s="853"/>
      <c r="D61" s="854"/>
      <c r="E61" s="854"/>
      <c r="F61" s="854"/>
      <c r="G61" s="854"/>
      <c r="H61" s="169"/>
      <c r="I61" s="170"/>
      <c r="J61" s="142"/>
      <c r="K61" s="158">
        <f>N61-L61-M61</f>
        <v>0</v>
      </c>
      <c r="L61" s="142"/>
      <c r="M61" s="142"/>
      <c r="N61" s="158">
        <f>I61*J61</f>
        <v>0</v>
      </c>
      <c r="P61" s="201">
        <f>B61</f>
        <v>1</v>
      </c>
      <c r="Q61" s="866" t="str">
        <f>IF(OR(C61=0,C61=""),"",C61)</f>
        <v/>
      </c>
      <c r="R61" s="866"/>
      <c r="S61" s="866"/>
      <c r="T61" s="866"/>
      <c r="U61" s="867"/>
      <c r="V61" s="202" t="str">
        <f>IF(N61=0,"",H61)</f>
        <v/>
      </c>
      <c r="W61" s="203">
        <f>IF(OR(V61="",V61=0),0,(Projeto!$AD$8*((1+Projeto!$AD$8)^V61))/(((1+Projeto!$AD$8)^V61)-1))</f>
        <v>0</v>
      </c>
      <c r="X61" s="204">
        <f>IF(AND(K61&gt;0,[1]CustoContabil!$F$31&gt;0),K61*([1]CustoContabil!$F$45/[1]CustoContabil!$F$31)*W61,0)</f>
        <v>0</v>
      </c>
      <c r="Y61" s="204">
        <f>IF(AND(N61&gt;0,[1]CustoContabil!$D$31&gt;0),N61*([1]CustoContabil!$D$45/[1]CustoContabil!$D$31)*W61,0)</f>
        <v>0</v>
      </c>
    </row>
    <row r="62" spans="2:25" ht="15" hidden="1" customHeight="1" x14ac:dyDescent="0.25">
      <c r="B62" s="553">
        <v>2</v>
      </c>
      <c r="C62" s="853"/>
      <c r="D62" s="854"/>
      <c r="E62" s="854"/>
      <c r="F62" s="854"/>
      <c r="G62" s="854"/>
      <c r="H62" s="176"/>
      <c r="I62" s="177"/>
      <c r="J62" s="142"/>
      <c r="K62" s="158">
        <f t="shared" ref="K62:K81" si="8">N62-L62-M62</f>
        <v>0</v>
      </c>
      <c r="L62" s="142"/>
      <c r="M62" s="142"/>
      <c r="N62" s="158">
        <f t="shared" ref="N62:N81" si="9">I62*J62</f>
        <v>0</v>
      </c>
      <c r="P62" s="201">
        <f t="shared" ref="P62:P80" si="10">B62</f>
        <v>2</v>
      </c>
      <c r="Q62" s="866" t="str">
        <f t="shared" ref="Q62:Q81" si="11">IF(OR(C62=0,C62=""),"",C62)</f>
        <v/>
      </c>
      <c r="R62" s="866"/>
      <c r="S62" s="866"/>
      <c r="T62" s="866"/>
      <c r="U62" s="867"/>
      <c r="V62" s="202" t="str">
        <f t="shared" ref="V62:V81" si="12">IF(N62=0,"",H62)</f>
        <v/>
      </c>
      <c r="W62" s="203">
        <f>IF(OR(V62="",V62=0),0,(#REF!*((1+#REF!)^V62))/(((1+#REF!)^V62)-1))</f>
        <v>0</v>
      </c>
      <c r="X62" s="204">
        <f>IF(AND(K62&gt;0,[1]CustoContabil!$F$31&gt;0),K62*([1]CustoContabil!$F$45/[1]CustoContabil!$F$31)*W62,0)</f>
        <v>0</v>
      </c>
      <c r="Y62" s="204">
        <f>IF(AND(N62&gt;0,[1]CustoContabil!$D$31&gt;0),N62*([1]CustoContabil!$D$45/[1]CustoContabil!$D$31)*W62,0)</f>
        <v>0</v>
      </c>
    </row>
    <row r="63" spans="2:25" ht="15" hidden="1" customHeight="1" x14ac:dyDescent="0.25">
      <c r="B63" s="201">
        <v>3</v>
      </c>
      <c r="C63" s="853"/>
      <c r="D63" s="854"/>
      <c r="E63" s="854"/>
      <c r="F63" s="854"/>
      <c r="G63" s="854"/>
      <c r="H63" s="176"/>
      <c r="I63" s="177"/>
      <c r="J63" s="142"/>
      <c r="K63" s="158">
        <f t="shared" si="8"/>
        <v>0</v>
      </c>
      <c r="L63" s="142"/>
      <c r="M63" s="142"/>
      <c r="N63" s="158">
        <f t="shared" si="9"/>
        <v>0</v>
      </c>
      <c r="P63" s="201">
        <f t="shared" si="10"/>
        <v>3</v>
      </c>
      <c r="Q63" s="866" t="str">
        <f t="shared" si="11"/>
        <v/>
      </c>
      <c r="R63" s="866"/>
      <c r="S63" s="866"/>
      <c r="T63" s="866"/>
      <c r="U63" s="867"/>
      <c r="V63" s="202" t="str">
        <f t="shared" si="12"/>
        <v/>
      </c>
      <c r="W63" s="203">
        <f>IF(OR(V63="",V63=0),0,(#REF!*((1+#REF!)^V63))/(((1+#REF!)^V63)-1))</f>
        <v>0</v>
      </c>
      <c r="X63" s="204">
        <f>IF(AND(K63&gt;0,[1]CustoContabil!$F$31&gt;0),K63*([1]CustoContabil!$F$45/[1]CustoContabil!$F$31)*W63,0)</f>
        <v>0</v>
      </c>
      <c r="Y63" s="204">
        <f>IF(AND(N63&gt;0,[1]CustoContabil!$D$31&gt;0),N63*([1]CustoContabil!$D$45/[1]CustoContabil!$D$31)*W63,0)</f>
        <v>0</v>
      </c>
    </row>
    <row r="64" spans="2:25" ht="15" hidden="1" customHeight="1" x14ac:dyDescent="0.25">
      <c r="B64" s="553">
        <v>4</v>
      </c>
      <c r="C64" s="853"/>
      <c r="D64" s="854"/>
      <c r="E64" s="854"/>
      <c r="F64" s="854"/>
      <c r="G64" s="854"/>
      <c r="H64" s="176"/>
      <c r="I64" s="177"/>
      <c r="J64" s="142"/>
      <c r="K64" s="158">
        <f t="shared" si="8"/>
        <v>0</v>
      </c>
      <c r="L64" s="142"/>
      <c r="M64" s="142"/>
      <c r="N64" s="158">
        <f t="shared" si="9"/>
        <v>0</v>
      </c>
      <c r="P64" s="201">
        <f t="shared" si="10"/>
        <v>4</v>
      </c>
      <c r="Q64" s="866" t="str">
        <f t="shared" si="11"/>
        <v/>
      </c>
      <c r="R64" s="866"/>
      <c r="S64" s="866"/>
      <c r="T64" s="866"/>
      <c r="U64" s="867"/>
      <c r="V64" s="202" t="str">
        <f t="shared" si="12"/>
        <v/>
      </c>
      <c r="W64" s="203">
        <f>IF(OR(V64="",V64=0),0,(#REF!*((1+#REF!)^V64))/(((1+#REF!)^V64)-1))</f>
        <v>0</v>
      </c>
      <c r="X64" s="204">
        <f>IF(AND(K64&gt;0,[1]CustoContabil!$F$31&gt;0),K64*([1]CustoContabil!$F$45/[1]CustoContabil!$F$31)*W64,0)</f>
        <v>0</v>
      </c>
      <c r="Y64" s="204">
        <f>IF(AND(N64&gt;0,[1]CustoContabil!$D$31&gt;0),N64*([1]CustoContabil!$D$45/[1]CustoContabil!$D$31)*W64,0)</f>
        <v>0</v>
      </c>
    </row>
    <row r="65" spans="2:25" ht="15" hidden="1" customHeight="1" x14ac:dyDescent="0.25">
      <c r="B65" s="201">
        <v>5</v>
      </c>
      <c r="C65" s="853"/>
      <c r="D65" s="854"/>
      <c r="E65" s="854"/>
      <c r="F65" s="854"/>
      <c r="G65" s="854"/>
      <c r="H65" s="176"/>
      <c r="I65" s="177"/>
      <c r="J65" s="142"/>
      <c r="K65" s="158">
        <f t="shared" si="8"/>
        <v>0</v>
      </c>
      <c r="L65" s="142"/>
      <c r="M65" s="142"/>
      <c r="N65" s="158">
        <f t="shared" si="9"/>
        <v>0</v>
      </c>
      <c r="P65" s="201">
        <f t="shared" si="10"/>
        <v>5</v>
      </c>
      <c r="Q65" s="866" t="str">
        <f t="shared" si="11"/>
        <v/>
      </c>
      <c r="R65" s="866"/>
      <c r="S65" s="866"/>
      <c r="T65" s="866"/>
      <c r="U65" s="867"/>
      <c r="V65" s="202" t="str">
        <f t="shared" si="12"/>
        <v/>
      </c>
      <c r="W65" s="203">
        <f>IF(OR(V65="",V65=0),0,(#REF!*((1+#REF!)^V65))/(((1+#REF!)^V65)-1))</f>
        <v>0</v>
      </c>
      <c r="X65" s="204">
        <f>IF(AND(K65&gt;0,[1]CustoContabil!$F$31&gt;0),K65*([1]CustoContabil!$F$45/[1]CustoContabil!$F$31)*W65,0)</f>
        <v>0</v>
      </c>
      <c r="Y65" s="204">
        <f>IF(AND(N65&gt;0,[1]CustoContabil!$D$31&gt;0),N65*([1]CustoContabil!$D$45/[1]CustoContabil!$D$31)*W65,0)</f>
        <v>0</v>
      </c>
    </row>
    <row r="66" spans="2:25" ht="15" hidden="1" customHeight="1" x14ac:dyDescent="0.25">
      <c r="B66" s="553">
        <v>6</v>
      </c>
      <c r="C66" s="853"/>
      <c r="D66" s="854"/>
      <c r="E66" s="854"/>
      <c r="F66" s="854"/>
      <c r="G66" s="854"/>
      <c r="H66" s="176"/>
      <c r="I66" s="177"/>
      <c r="J66" s="142"/>
      <c r="K66" s="158">
        <f t="shared" si="8"/>
        <v>0</v>
      </c>
      <c r="L66" s="142"/>
      <c r="M66" s="142"/>
      <c r="N66" s="158">
        <f t="shared" si="9"/>
        <v>0</v>
      </c>
      <c r="P66" s="201">
        <f t="shared" si="10"/>
        <v>6</v>
      </c>
      <c r="Q66" s="866" t="str">
        <f t="shared" si="11"/>
        <v/>
      </c>
      <c r="R66" s="866"/>
      <c r="S66" s="866"/>
      <c r="T66" s="866"/>
      <c r="U66" s="867"/>
      <c r="V66" s="202" t="str">
        <f t="shared" si="12"/>
        <v/>
      </c>
      <c r="W66" s="203">
        <f>IF(OR(V66="",V66=0),0,(#REF!*((1+#REF!)^V66))/(((1+#REF!)^V66)-1))</f>
        <v>0</v>
      </c>
      <c r="X66" s="204">
        <f>IF(AND(K66&gt;0,[1]CustoContabil!$F$31&gt;0),K66*([1]CustoContabil!$F$45/[1]CustoContabil!$F$31)*W66,0)</f>
        <v>0</v>
      </c>
      <c r="Y66" s="204">
        <f>IF(AND(N66&gt;0,[1]CustoContabil!$D$31&gt;0),N66*([1]CustoContabil!$D$45/[1]CustoContabil!$D$31)*W66,0)</f>
        <v>0</v>
      </c>
    </row>
    <row r="67" spans="2:25" ht="15" hidden="1" customHeight="1" x14ac:dyDescent="0.25">
      <c r="B67" s="201">
        <v>7</v>
      </c>
      <c r="C67" s="853"/>
      <c r="D67" s="854"/>
      <c r="E67" s="854"/>
      <c r="F67" s="854"/>
      <c r="G67" s="854"/>
      <c r="H67" s="176"/>
      <c r="I67" s="177"/>
      <c r="J67" s="142"/>
      <c r="K67" s="158">
        <f t="shared" si="8"/>
        <v>0</v>
      </c>
      <c r="L67" s="142"/>
      <c r="M67" s="142"/>
      <c r="N67" s="158">
        <f t="shared" si="9"/>
        <v>0</v>
      </c>
      <c r="P67" s="201">
        <f t="shared" si="10"/>
        <v>7</v>
      </c>
      <c r="Q67" s="866" t="str">
        <f t="shared" si="11"/>
        <v/>
      </c>
      <c r="R67" s="866"/>
      <c r="S67" s="866"/>
      <c r="T67" s="866"/>
      <c r="U67" s="867"/>
      <c r="V67" s="202" t="str">
        <f t="shared" si="12"/>
        <v/>
      </c>
      <c r="W67" s="203">
        <f>IF(OR(V67="",V67=0),0,(#REF!*((1+#REF!)^V67))/(((1+#REF!)^V67)-1))</f>
        <v>0</v>
      </c>
      <c r="X67" s="204">
        <f>IF(AND(K67&gt;0,[1]CustoContabil!$F$31&gt;0),K67*([1]CustoContabil!$F$45/[1]CustoContabil!$F$31)*W67,0)</f>
        <v>0</v>
      </c>
      <c r="Y67" s="204">
        <f>IF(AND(N67&gt;0,[1]CustoContabil!$D$31&gt;0),N67*([1]CustoContabil!$D$45/[1]CustoContabil!$D$31)*W67,0)</f>
        <v>0</v>
      </c>
    </row>
    <row r="68" spans="2:25" ht="15" hidden="1" customHeight="1" x14ac:dyDescent="0.25">
      <c r="B68" s="553">
        <v>8</v>
      </c>
      <c r="C68" s="853"/>
      <c r="D68" s="854"/>
      <c r="E68" s="854"/>
      <c r="F68" s="854"/>
      <c r="G68" s="854"/>
      <c r="H68" s="176"/>
      <c r="I68" s="177"/>
      <c r="J68" s="142"/>
      <c r="K68" s="158">
        <f t="shared" si="8"/>
        <v>0</v>
      </c>
      <c r="L68" s="142"/>
      <c r="M68" s="142"/>
      <c r="N68" s="158">
        <f t="shared" si="9"/>
        <v>0</v>
      </c>
      <c r="P68" s="201">
        <f t="shared" si="10"/>
        <v>8</v>
      </c>
      <c r="Q68" s="866" t="str">
        <f t="shared" si="11"/>
        <v/>
      </c>
      <c r="R68" s="866"/>
      <c r="S68" s="866"/>
      <c r="T68" s="866"/>
      <c r="U68" s="867"/>
      <c r="V68" s="202" t="str">
        <f t="shared" si="12"/>
        <v/>
      </c>
      <c r="W68" s="203">
        <f>IF(OR(V68="",V68=0),0,(#REF!*((1+#REF!)^V68))/(((1+#REF!)^V68)-1))</f>
        <v>0</v>
      </c>
      <c r="X68" s="204">
        <f>IF(AND(K68&gt;0,[1]CustoContabil!$F$31&gt;0),K68*([1]CustoContabil!$F$45/[1]CustoContabil!$F$31)*W68,0)</f>
        <v>0</v>
      </c>
      <c r="Y68" s="204">
        <f>IF(AND(N68&gt;0,[1]CustoContabil!$D$31&gt;0),N68*([1]CustoContabil!$D$45/[1]CustoContabil!$D$31)*W68,0)</f>
        <v>0</v>
      </c>
    </row>
    <row r="69" spans="2:25" ht="15" hidden="1" customHeight="1" x14ac:dyDescent="0.25">
      <c r="B69" s="201">
        <v>9</v>
      </c>
      <c r="C69" s="853"/>
      <c r="D69" s="854"/>
      <c r="E69" s="854"/>
      <c r="F69" s="854"/>
      <c r="G69" s="854"/>
      <c r="H69" s="176"/>
      <c r="I69" s="177"/>
      <c r="J69" s="142"/>
      <c r="K69" s="158">
        <f t="shared" si="8"/>
        <v>0</v>
      </c>
      <c r="L69" s="142"/>
      <c r="M69" s="142"/>
      <c r="N69" s="158">
        <f t="shared" si="9"/>
        <v>0</v>
      </c>
      <c r="P69" s="201">
        <f t="shared" si="10"/>
        <v>9</v>
      </c>
      <c r="Q69" s="866" t="str">
        <f t="shared" si="11"/>
        <v/>
      </c>
      <c r="R69" s="866"/>
      <c r="S69" s="866"/>
      <c r="T69" s="866"/>
      <c r="U69" s="867"/>
      <c r="V69" s="202" t="str">
        <f t="shared" si="12"/>
        <v/>
      </c>
      <c r="W69" s="203">
        <f>IF(OR(V69="",V69=0),0,(#REF!*((1+#REF!)^V69))/(((1+#REF!)^V69)-1))</f>
        <v>0</v>
      </c>
      <c r="X69" s="204">
        <f>IF(AND(K69&gt;0,[1]CustoContabil!$F$31&gt;0),K69*([1]CustoContabil!$F$45/[1]CustoContabil!$F$31)*W69,0)</f>
        <v>0</v>
      </c>
      <c r="Y69" s="204">
        <f>IF(AND(N69&gt;0,[1]CustoContabil!$D$31&gt;0),N69*([1]CustoContabil!$D$45/[1]CustoContabil!$D$31)*W69,0)</f>
        <v>0</v>
      </c>
    </row>
    <row r="70" spans="2:25" ht="15" hidden="1" customHeight="1" x14ac:dyDescent="0.25">
      <c r="B70" s="553">
        <v>10</v>
      </c>
      <c r="C70" s="853"/>
      <c r="D70" s="854"/>
      <c r="E70" s="854"/>
      <c r="F70" s="854"/>
      <c r="G70" s="854"/>
      <c r="H70" s="178"/>
      <c r="I70" s="177"/>
      <c r="J70" s="142"/>
      <c r="K70" s="158">
        <f t="shared" si="8"/>
        <v>0</v>
      </c>
      <c r="L70" s="142"/>
      <c r="M70" s="142"/>
      <c r="N70" s="158">
        <f t="shared" si="9"/>
        <v>0</v>
      </c>
      <c r="P70" s="201">
        <f t="shared" si="10"/>
        <v>10</v>
      </c>
      <c r="Q70" s="866" t="str">
        <f t="shared" si="11"/>
        <v/>
      </c>
      <c r="R70" s="866"/>
      <c r="S70" s="866"/>
      <c r="T70" s="866"/>
      <c r="U70" s="867"/>
      <c r="V70" s="202" t="str">
        <f t="shared" si="12"/>
        <v/>
      </c>
      <c r="W70" s="203">
        <f>IF(OR(V70="",V70=0),0,(#REF!*((1+#REF!)^V70))/(((1+#REF!)^V70)-1))</f>
        <v>0</v>
      </c>
      <c r="X70" s="204">
        <f>IF(AND(K70&gt;0,[1]CustoContabil!$F$31&gt;0),K70*([1]CustoContabil!$F$45/[1]CustoContabil!$F$31)*W70,0)</f>
        <v>0</v>
      </c>
      <c r="Y70" s="204">
        <f>IF(AND(N70&gt;0,[1]CustoContabil!$D$31&gt;0),N70*([1]CustoContabil!$D$45/[1]CustoContabil!$D$31)*W70,0)</f>
        <v>0</v>
      </c>
    </row>
    <row r="71" spans="2:25" ht="15" hidden="1" customHeight="1" x14ac:dyDescent="0.25">
      <c r="B71" s="201">
        <v>11</v>
      </c>
      <c r="C71" s="853"/>
      <c r="D71" s="854"/>
      <c r="E71" s="854"/>
      <c r="F71" s="854"/>
      <c r="G71" s="854"/>
      <c r="H71" s="176"/>
      <c r="I71" s="177"/>
      <c r="J71" s="142"/>
      <c r="K71" s="158">
        <f t="shared" si="8"/>
        <v>0</v>
      </c>
      <c r="L71" s="142"/>
      <c r="M71" s="142"/>
      <c r="N71" s="158">
        <f t="shared" si="9"/>
        <v>0</v>
      </c>
      <c r="P71" s="201">
        <f t="shared" si="10"/>
        <v>11</v>
      </c>
      <c r="Q71" s="866" t="str">
        <f t="shared" si="11"/>
        <v/>
      </c>
      <c r="R71" s="866"/>
      <c r="S71" s="866"/>
      <c r="T71" s="866"/>
      <c r="U71" s="867"/>
      <c r="V71" s="202" t="str">
        <f t="shared" si="12"/>
        <v/>
      </c>
      <c r="W71" s="203">
        <f>IF(OR(V71="",V71=0),0,(#REF!*((1+#REF!)^V71))/(((1+#REF!)^V71)-1))</f>
        <v>0</v>
      </c>
      <c r="X71" s="204">
        <f>IF(AND(K71&gt;0,[1]CustoContabil!$F$31&gt;0),K71*([1]CustoContabil!$F$45/[1]CustoContabil!$F$31)*W71,0)</f>
        <v>0</v>
      </c>
      <c r="Y71" s="204">
        <f>IF(AND(N71&gt;0,[1]CustoContabil!$D$31&gt;0),N71*([1]CustoContabil!$D$45/[1]CustoContabil!$D$31)*W71,0)</f>
        <v>0</v>
      </c>
    </row>
    <row r="72" spans="2:25" ht="15" hidden="1" customHeight="1" x14ac:dyDescent="0.25">
      <c r="B72" s="553">
        <v>12</v>
      </c>
      <c r="C72" s="853"/>
      <c r="D72" s="854"/>
      <c r="E72" s="854"/>
      <c r="F72" s="854"/>
      <c r="G72" s="854"/>
      <c r="H72" s="176"/>
      <c r="I72" s="177"/>
      <c r="J72" s="142"/>
      <c r="K72" s="158">
        <f t="shared" si="8"/>
        <v>0</v>
      </c>
      <c r="L72" s="142"/>
      <c r="M72" s="142"/>
      <c r="N72" s="158">
        <f t="shared" si="9"/>
        <v>0</v>
      </c>
      <c r="P72" s="201">
        <f t="shared" si="10"/>
        <v>12</v>
      </c>
      <c r="Q72" s="866" t="str">
        <f t="shared" si="11"/>
        <v/>
      </c>
      <c r="R72" s="866"/>
      <c r="S72" s="866"/>
      <c r="T72" s="866"/>
      <c r="U72" s="867"/>
      <c r="V72" s="202" t="str">
        <f t="shared" si="12"/>
        <v/>
      </c>
      <c r="W72" s="203">
        <f>IF(OR(V72="",V72=0),0,(#REF!*((1+#REF!)^V72))/(((1+#REF!)^V72)-1))</f>
        <v>0</v>
      </c>
      <c r="X72" s="204">
        <f>IF(AND(K72&gt;0,[1]CustoContabil!$F$31&gt;0),K72*([1]CustoContabil!$F$45/[1]CustoContabil!$F$31)*W72,0)</f>
        <v>0</v>
      </c>
      <c r="Y72" s="204">
        <f>IF(AND(N72&gt;0,[1]CustoContabil!$D$31&gt;0),N72*([1]CustoContabil!$D$45/[1]CustoContabil!$D$31)*W72,0)</f>
        <v>0</v>
      </c>
    </row>
    <row r="73" spans="2:25" ht="15" hidden="1" customHeight="1" x14ac:dyDescent="0.25">
      <c r="B73" s="201">
        <v>13</v>
      </c>
      <c r="C73" s="853"/>
      <c r="D73" s="854"/>
      <c r="E73" s="854"/>
      <c r="F73" s="854"/>
      <c r="G73" s="854"/>
      <c r="H73" s="178"/>
      <c r="I73" s="177"/>
      <c r="J73" s="142"/>
      <c r="K73" s="158">
        <f t="shared" si="8"/>
        <v>0</v>
      </c>
      <c r="L73" s="142"/>
      <c r="M73" s="142"/>
      <c r="N73" s="158">
        <f t="shared" si="9"/>
        <v>0</v>
      </c>
      <c r="P73" s="201">
        <f t="shared" si="10"/>
        <v>13</v>
      </c>
      <c r="Q73" s="866" t="str">
        <f t="shared" si="11"/>
        <v/>
      </c>
      <c r="R73" s="866"/>
      <c r="S73" s="866"/>
      <c r="T73" s="866"/>
      <c r="U73" s="867"/>
      <c r="V73" s="202" t="str">
        <f t="shared" si="12"/>
        <v/>
      </c>
      <c r="W73" s="203">
        <f>IF(OR(V73="",V73=0),0,(#REF!*((1+#REF!)^V73))/(((1+#REF!)^V73)-1))</f>
        <v>0</v>
      </c>
      <c r="X73" s="204">
        <f>IF(AND(K73&gt;0,[1]CustoContabil!$F$31&gt;0),K73*([1]CustoContabil!$F$45/[1]CustoContabil!$F$31)*W73,0)</f>
        <v>0</v>
      </c>
      <c r="Y73" s="204">
        <f>IF(AND(N73&gt;0,[1]CustoContabil!$D$31&gt;0),N73*([1]CustoContabil!$D$45/[1]CustoContabil!$D$31)*W73,0)</f>
        <v>0</v>
      </c>
    </row>
    <row r="74" spans="2:25" ht="15" hidden="1" customHeight="1" x14ac:dyDescent="0.25">
      <c r="B74" s="553">
        <v>14</v>
      </c>
      <c r="C74" s="853"/>
      <c r="D74" s="854"/>
      <c r="E74" s="854"/>
      <c r="F74" s="854"/>
      <c r="G74" s="854"/>
      <c r="H74" s="176"/>
      <c r="I74" s="177"/>
      <c r="J74" s="142"/>
      <c r="K74" s="158">
        <f t="shared" si="8"/>
        <v>0</v>
      </c>
      <c r="L74" s="142"/>
      <c r="M74" s="142"/>
      <c r="N74" s="158">
        <f t="shared" si="9"/>
        <v>0</v>
      </c>
      <c r="P74" s="201">
        <f t="shared" si="10"/>
        <v>14</v>
      </c>
      <c r="Q74" s="866" t="str">
        <f t="shared" si="11"/>
        <v/>
      </c>
      <c r="R74" s="866"/>
      <c r="S74" s="866"/>
      <c r="T74" s="866"/>
      <c r="U74" s="867"/>
      <c r="V74" s="202" t="str">
        <f t="shared" si="12"/>
        <v/>
      </c>
      <c r="W74" s="203">
        <f>IF(OR(V74="",V74=0),0,(#REF!*((1+#REF!)^V74))/(((1+#REF!)^V74)-1))</f>
        <v>0</v>
      </c>
      <c r="X74" s="204">
        <f>IF(AND(K74&gt;0,[1]CustoContabil!$F$31&gt;0),K74*([1]CustoContabil!$F$45/[1]CustoContabil!$F$31)*W74,0)</f>
        <v>0</v>
      </c>
      <c r="Y74" s="204">
        <f>IF(AND(N74&gt;0,[1]CustoContabil!$D$31&gt;0),N74*([1]CustoContabil!$D$45/[1]CustoContabil!$D$31)*W74,0)</f>
        <v>0</v>
      </c>
    </row>
    <row r="75" spans="2:25" ht="15" hidden="1" customHeight="1" x14ac:dyDescent="0.25">
      <c r="B75" s="201">
        <v>15</v>
      </c>
      <c r="C75" s="853"/>
      <c r="D75" s="854"/>
      <c r="E75" s="854"/>
      <c r="F75" s="854"/>
      <c r="G75" s="854"/>
      <c r="H75" s="176"/>
      <c r="I75" s="177"/>
      <c r="J75" s="142"/>
      <c r="K75" s="158">
        <f t="shared" si="8"/>
        <v>0</v>
      </c>
      <c r="L75" s="142"/>
      <c r="M75" s="142"/>
      <c r="N75" s="158">
        <f t="shared" si="9"/>
        <v>0</v>
      </c>
      <c r="P75" s="201">
        <f t="shared" si="10"/>
        <v>15</v>
      </c>
      <c r="Q75" s="866" t="str">
        <f t="shared" si="11"/>
        <v/>
      </c>
      <c r="R75" s="866"/>
      <c r="S75" s="866"/>
      <c r="T75" s="866"/>
      <c r="U75" s="867"/>
      <c r="V75" s="202" t="str">
        <f t="shared" si="12"/>
        <v/>
      </c>
      <c r="W75" s="203">
        <f>IF(OR(V75="",V75=0),0,(#REF!*((1+#REF!)^V75))/(((1+#REF!)^V75)-1))</f>
        <v>0</v>
      </c>
      <c r="X75" s="204">
        <f>IF(AND(K75&gt;0,[1]CustoContabil!$F$31&gt;0),K75*([1]CustoContabil!$F$45/[1]CustoContabil!$F$31)*W75,0)</f>
        <v>0</v>
      </c>
      <c r="Y75" s="204">
        <f>IF(AND(N75&gt;0,[1]CustoContabil!$D$31&gt;0),N75*([1]CustoContabil!$D$45/[1]CustoContabil!$D$31)*W75,0)</f>
        <v>0</v>
      </c>
    </row>
    <row r="76" spans="2:25" ht="15" hidden="1" customHeight="1" x14ac:dyDescent="0.25">
      <c r="B76" s="553">
        <v>16</v>
      </c>
      <c r="C76" s="853"/>
      <c r="D76" s="854"/>
      <c r="E76" s="854"/>
      <c r="F76" s="854"/>
      <c r="G76" s="854"/>
      <c r="H76" s="176"/>
      <c r="I76" s="177"/>
      <c r="J76" s="142"/>
      <c r="K76" s="158">
        <f t="shared" si="8"/>
        <v>0</v>
      </c>
      <c r="L76" s="142"/>
      <c r="M76" s="142"/>
      <c r="N76" s="158">
        <f t="shared" si="9"/>
        <v>0</v>
      </c>
      <c r="P76" s="201">
        <f t="shared" si="10"/>
        <v>16</v>
      </c>
      <c r="Q76" s="866" t="str">
        <f t="shared" si="11"/>
        <v/>
      </c>
      <c r="R76" s="866"/>
      <c r="S76" s="866"/>
      <c r="T76" s="866"/>
      <c r="U76" s="867"/>
      <c r="V76" s="202" t="str">
        <f t="shared" si="12"/>
        <v/>
      </c>
      <c r="W76" s="203">
        <f>IF(OR(V76="",V76=0),0,(#REF!*((1+#REF!)^V76))/(((1+#REF!)^V76)-1))</f>
        <v>0</v>
      </c>
      <c r="X76" s="204">
        <f>IF(AND(K76&gt;0,[1]CustoContabil!$F$31&gt;0),K76*([1]CustoContabil!$F$45/[1]CustoContabil!$F$31)*W76,0)</f>
        <v>0</v>
      </c>
      <c r="Y76" s="204">
        <f>IF(AND(N76&gt;0,[1]CustoContabil!$D$31&gt;0),N76*([1]CustoContabil!$D$45/[1]CustoContabil!$D$31)*W76,0)</f>
        <v>0</v>
      </c>
    </row>
    <row r="77" spans="2:25" ht="15" hidden="1" customHeight="1" x14ac:dyDescent="0.25">
      <c r="B77" s="201">
        <v>17</v>
      </c>
      <c r="C77" s="853"/>
      <c r="D77" s="854"/>
      <c r="E77" s="854"/>
      <c r="F77" s="854"/>
      <c r="G77" s="854"/>
      <c r="H77" s="176"/>
      <c r="I77" s="177"/>
      <c r="J77" s="142"/>
      <c r="K77" s="158">
        <f t="shared" si="8"/>
        <v>0</v>
      </c>
      <c r="L77" s="142"/>
      <c r="M77" s="142"/>
      <c r="N77" s="158">
        <f t="shared" si="9"/>
        <v>0</v>
      </c>
      <c r="P77" s="201">
        <f t="shared" si="10"/>
        <v>17</v>
      </c>
      <c r="Q77" s="866" t="str">
        <f t="shared" si="11"/>
        <v/>
      </c>
      <c r="R77" s="866"/>
      <c r="S77" s="866"/>
      <c r="T77" s="866"/>
      <c r="U77" s="867"/>
      <c r="V77" s="202" t="str">
        <f t="shared" si="12"/>
        <v/>
      </c>
      <c r="W77" s="203">
        <f>IF(OR(V77="",V77=0),0,(#REF!*((1+#REF!)^V77))/(((1+#REF!)^V77)-1))</f>
        <v>0</v>
      </c>
      <c r="X77" s="204">
        <f>IF(AND(K77&gt;0,[1]CustoContabil!$F$31&gt;0),K77*([1]CustoContabil!$F$45/[1]CustoContabil!$F$31)*W77,0)</f>
        <v>0</v>
      </c>
      <c r="Y77" s="204">
        <f>IF(AND(N77&gt;0,[1]CustoContabil!$D$31&gt;0),N77*([1]CustoContabil!$D$45/[1]CustoContabil!$D$31)*W77,0)</f>
        <v>0</v>
      </c>
    </row>
    <row r="78" spans="2:25" ht="15" hidden="1" customHeight="1" x14ac:dyDescent="0.25">
      <c r="B78" s="553">
        <v>18</v>
      </c>
      <c r="C78" s="853"/>
      <c r="D78" s="854"/>
      <c r="E78" s="854"/>
      <c r="F78" s="854"/>
      <c r="G78" s="854"/>
      <c r="H78" s="176"/>
      <c r="I78" s="177"/>
      <c r="J78" s="142"/>
      <c r="K78" s="158">
        <f t="shared" si="8"/>
        <v>0</v>
      </c>
      <c r="L78" s="142"/>
      <c r="M78" s="142"/>
      <c r="N78" s="158">
        <f t="shared" si="9"/>
        <v>0</v>
      </c>
      <c r="P78" s="201">
        <f t="shared" si="10"/>
        <v>18</v>
      </c>
      <c r="Q78" s="866" t="str">
        <f t="shared" si="11"/>
        <v/>
      </c>
      <c r="R78" s="866"/>
      <c r="S78" s="866"/>
      <c r="T78" s="866"/>
      <c r="U78" s="867"/>
      <c r="V78" s="202" t="str">
        <f t="shared" si="12"/>
        <v/>
      </c>
      <c r="W78" s="203">
        <f>IF(OR(V78="",V78=0),0,(#REF!*((1+#REF!)^V78))/(((1+#REF!)^V78)-1))</f>
        <v>0</v>
      </c>
      <c r="X78" s="204">
        <f>IF(AND(K78&gt;0,[1]CustoContabil!$F$31&gt;0),K78*([1]CustoContabil!$F$45/[1]CustoContabil!$F$31)*W78,0)</f>
        <v>0</v>
      </c>
      <c r="Y78" s="204">
        <f>IF(AND(N78&gt;0,[1]CustoContabil!$D$31&gt;0),N78*([1]CustoContabil!$D$45/[1]CustoContabil!$D$31)*W78,0)</f>
        <v>0</v>
      </c>
    </row>
    <row r="79" spans="2:25" ht="15" hidden="1" customHeight="1" x14ac:dyDescent="0.25">
      <c r="B79" s="201">
        <v>19</v>
      </c>
      <c r="C79" s="853"/>
      <c r="D79" s="854"/>
      <c r="E79" s="854"/>
      <c r="F79" s="854"/>
      <c r="G79" s="854"/>
      <c r="H79" s="176"/>
      <c r="I79" s="177"/>
      <c r="J79" s="142"/>
      <c r="K79" s="158">
        <f t="shared" si="8"/>
        <v>0</v>
      </c>
      <c r="L79" s="142"/>
      <c r="M79" s="142"/>
      <c r="N79" s="158">
        <f t="shared" si="9"/>
        <v>0</v>
      </c>
      <c r="P79" s="201">
        <f t="shared" si="10"/>
        <v>19</v>
      </c>
      <c r="Q79" s="866" t="str">
        <f t="shared" si="11"/>
        <v/>
      </c>
      <c r="R79" s="866"/>
      <c r="S79" s="866"/>
      <c r="T79" s="866"/>
      <c r="U79" s="867"/>
      <c r="V79" s="202" t="str">
        <f t="shared" si="12"/>
        <v/>
      </c>
      <c r="W79" s="203">
        <f>IF(OR(V79="",V79=0),0,(#REF!*((1+#REF!)^V79))/(((1+#REF!)^V79)-1))</f>
        <v>0</v>
      </c>
      <c r="X79" s="204">
        <f>IF(AND(K79&gt;0,[1]CustoContabil!$F$31&gt;0),K79*([1]CustoContabil!$F$45/[1]CustoContabil!$F$31)*W79,0)</f>
        <v>0</v>
      </c>
      <c r="Y79" s="204">
        <f>IF(AND(N79&gt;0,[1]CustoContabil!$D$31&gt;0),N79*([1]CustoContabil!$D$45/[1]CustoContabil!$D$31)*W79,0)</f>
        <v>0</v>
      </c>
    </row>
    <row r="80" spans="2:25" ht="15" hidden="1" customHeight="1" x14ac:dyDescent="0.25">
      <c r="B80" s="201">
        <v>20</v>
      </c>
      <c r="C80" s="853"/>
      <c r="D80" s="854"/>
      <c r="E80" s="854"/>
      <c r="F80" s="854"/>
      <c r="G80" s="854"/>
      <c r="H80" s="176"/>
      <c r="I80" s="177"/>
      <c r="J80" s="142"/>
      <c r="K80" s="158">
        <f t="shared" si="8"/>
        <v>0</v>
      </c>
      <c r="L80" s="142"/>
      <c r="M80" s="142"/>
      <c r="N80" s="158">
        <f t="shared" si="9"/>
        <v>0</v>
      </c>
      <c r="P80" s="201">
        <f t="shared" si="10"/>
        <v>20</v>
      </c>
      <c r="Q80" s="866" t="str">
        <f t="shared" si="11"/>
        <v/>
      </c>
      <c r="R80" s="866"/>
      <c r="S80" s="866"/>
      <c r="T80" s="866"/>
      <c r="U80" s="867"/>
      <c r="V80" s="202" t="str">
        <f t="shared" si="12"/>
        <v/>
      </c>
      <c r="W80" s="203">
        <f>IF(OR(V80="",V80=0),0,(#REF!*((1+#REF!)^V80))/(((1+#REF!)^V80)-1))</f>
        <v>0</v>
      </c>
      <c r="X80" s="204">
        <f>IF(AND(K80&gt;0,[1]CustoContabil!$F$31&gt;0),K80*([1]CustoContabil!$F$45/[1]CustoContabil!$F$31)*W80,0)</f>
        <v>0</v>
      </c>
      <c r="Y80" s="204">
        <f>IF(AND(N80&gt;0,[1]CustoContabil!$D$31&gt;0),N80*([1]CustoContabil!$D$45/[1]CustoContabil!$D$31)*W80,0)</f>
        <v>0</v>
      </c>
    </row>
    <row r="81" spans="2:25" ht="15" hidden="1" customHeight="1" x14ac:dyDescent="0.25">
      <c r="B81" s="201"/>
      <c r="C81" s="868" t="s">
        <v>4066</v>
      </c>
      <c r="D81" s="869"/>
      <c r="E81" s="869"/>
      <c r="F81" s="869"/>
      <c r="G81" s="869"/>
      <c r="H81" s="205">
        <v>20</v>
      </c>
      <c r="I81" s="177"/>
      <c r="J81" s="142"/>
      <c r="K81" s="158">
        <f t="shared" si="8"/>
        <v>0</v>
      </c>
      <c r="L81" s="142"/>
      <c r="M81" s="142"/>
      <c r="N81" s="158">
        <f t="shared" si="9"/>
        <v>0</v>
      </c>
      <c r="P81" s="201"/>
      <c r="Q81" s="866" t="str">
        <f t="shared" si="11"/>
        <v>Acessórios</v>
      </c>
      <c r="R81" s="866"/>
      <c r="S81" s="866"/>
      <c r="T81" s="866"/>
      <c r="U81" s="867"/>
      <c r="V81" s="202" t="str">
        <f t="shared" si="12"/>
        <v/>
      </c>
      <c r="W81" s="203">
        <f>IF(OR(V81="",V81=0),0,(#REF!*((1+#REF!)^V81))/(((1+#REF!)^V81)-1))</f>
        <v>0</v>
      </c>
      <c r="X81" s="204">
        <f>IF(AND(K81&gt;0,[1]CustoContabil!$F$31&gt;0),K81*([1]CustoContabil!$F$45/[1]CustoContabil!$F$31)*W81,0)</f>
        <v>0</v>
      </c>
      <c r="Y81" s="204">
        <f>IF(AND(N81&gt;0,[1]CustoContabil!$D$31&gt;0),N81*([1]CustoContabil!$D$45/[1]CustoContabil!$D$31)*W81,0)</f>
        <v>0</v>
      </c>
    </row>
    <row r="82" spans="2:25" ht="15" hidden="1" customHeight="1" x14ac:dyDescent="0.25">
      <c r="B82" s="206"/>
      <c r="C82" s="838" t="s">
        <v>4852</v>
      </c>
      <c r="D82" s="838"/>
      <c r="E82" s="838"/>
      <c r="F82" s="838"/>
      <c r="G82" s="838"/>
      <c r="H82" s="838"/>
      <c r="I82" s="838"/>
      <c r="J82" s="839"/>
      <c r="K82" s="207">
        <f>SUM(K61:K81)</f>
        <v>0</v>
      </c>
      <c r="L82" s="207">
        <f>SUM(L61:L81)</f>
        <v>0</v>
      </c>
      <c r="M82" s="207">
        <f>SUM(M61:M81)</f>
        <v>0</v>
      </c>
      <c r="N82" s="207">
        <f>SUM(N61:N81)</f>
        <v>0</v>
      </c>
      <c r="P82" s="871" t="s">
        <v>4861</v>
      </c>
      <c r="Q82" s="872"/>
      <c r="R82" s="872"/>
      <c r="S82" s="872"/>
      <c r="T82" s="872"/>
      <c r="U82" s="872"/>
      <c r="V82" s="873"/>
      <c r="W82" s="208" t="s">
        <v>4854</v>
      </c>
      <c r="X82" s="209">
        <f>SUM(X61:X81)</f>
        <v>0</v>
      </c>
      <c r="Y82" s="209">
        <f>SUM(Y61:Y81)</f>
        <v>0</v>
      </c>
    </row>
    <row r="83" spans="2:25" ht="15" hidden="1" customHeight="1" x14ac:dyDescent="0.25">
      <c r="B83" s="861" t="s">
        <v>4070</v>
      </c>
      <c r="C83" s="862"/>
      <c r="D83" s="862"/>
      <c r="E83" s="862"/>
      <c r="F83" s="862"/>
      <c r="G83" s="862"/>
      <c r="H83" s="862"/>
      <c r="I83" s="862"/>
      <c r="J83" s="862"/>
      <c r="K83" s="857" t="s">
        <v>3909</v>
      </c>
      <c r="L83" s="857"/>
      <c r="M83" s="857"/>
      <c r="N83" s="857"/>
      <c r="P83" s="184"/>
      <c r="Q83" s="184"/>
      <c r="R83" s="185"/>
      <c r="S83" s="186"/>
      <c r="T83" s="186"/>
      <c r="U83" s="186"/>
      <c r="V83" s="187"/>
      <c r="W83" s="188"/>
    </row>
    <row r="84" spans="2:25" ht="15" hidden="1" customHeight="1" x14ac:dyDescent="0.35">
      <c r="B84" s="210"/>
      <c r="C84" s="836" t="s">
        <v>12</v>
      </c>
      <c r="D84" s="836"/>
      <c r="E84" s="836"/>
      <c r="F84" s="836"/>
      <c r="G84" s="836"/>
      <c r="H84" s="836"/>
      <c r="I84" s="836"/>
      <c r="J84" s="837"/>
      <c r="K84" s="158">
        <v>0</v>
      </c>
      <c r="L84" s="211"/>
      <c r="M84" s="212"/>
      <c r="N84" s="158">
        <f>K84</f>
        <v>0</v>
      </c>
      <c r="P84" s="213" t="s">
        <v>4855</v>
      </c>
      <c r="Q84" s="214"/>
      <c r="R84" s="215">
        <f>[1]RCB!$G$35</f>
        <v>0</v>
      </c>
      <c r="T84" s="213" t="s">
        <v>4855</v>
      </c>
      <c r="U84" s="214"/>
      <c r="V84" s="215">
        <f>[1]RCB!$J$35</f>
        <v>0</v>
      </c>
    </row>
    <row r="85" spans="2:25" ht="15" hidden="1" customHeight="1" x14ac:dyDescent="0.35">
      <c r="B85" s="863" t="s">
        <v>3920</v>
      </c>
      <c r="C85" s="893"/>
      <c r="D85" s="893"/>
      <c r="E85" s="893"/>
      <c r="F85" s="893"/>
      <c r="G85" s="894"/>
      <c r="H85" s="152" t="s">
        <v>3980</v>
      </c>
      <c r="I85" s="543" t="s">
        <v>697</v>
      </c>
      <c r="J85" s="543" t="s">
        <v>4073</v>
      </c>
      <c r="K85" s="200" t="s">
        <v>3982</v>
      </c>
      <c r="L85" s="152" t="s">
        <v>4086</v>
      </c>
      <c r="M85" s="152" t="s">
        <v>4087</v>
      </c>
      <c r="N85" s="153" t="s">
        <v>4062</v>
      </c>
      <c r="P85" s="213" t="s">
        <v>4074</v>
      </c>
      <c r="Q85" s="214"/>
      <c r="R85" s="215">
        <f>[1]RCB!$H$29</f>
        <v>0</v>
      </c>
      <c r="T85" s="213" t="s">
        <v>4075</v>
      </c>
      <c r="U85" s="214"/>
      <c r="V85" s="215">
        <f>[1]RCB!$K$29</f>
        <v>0</v>
      </c>
    </row>
    <row r="86" spans="2:25" ht="15" hidden="1" customHeight="1" x14ac:dyDescent="0.25">
      <c r="B86" s="201">
        <v>1</v>
      </c>
      <c r="C86" s="870"/>
      <c r="D86" s="870"/>
      <c r="E86" s="870"/>
      <c r="F86" s="870"/>
      <c r="G86" s="853"/>
      <c r="H86" s="192"/>
      <c r="I86" s="170"/>
      <c r="J86" s="142"/>
      <c r="K86" s="158">
        <f>N86-L86-M86</f>
        <v>0</v>
      </c>
      <c r="L86" s="142"/>
      <c r="M86" s="142"/>
      <c r="N86" s="158">
        <f>H86*I86*J86</f>
        <v>0</v>
      </c>
    </row>
    <row r="87" spans="2:25" ht="15" hidden="1" customHeight="1" x14ac:dyDescent="0.25">
      <c r="B87" s="553">
        <v>2</v>
      </c>
      <c r="C87" s="870"/>
      <c r="D87" s="870"/>
      <c r="E87" s="870"/>
      <c r="F87" s="870"/>
      <c r="G87" s="853"/>
      <c r="H87" s="193"/>
      <c r="I87" s="177"/>
      <c r="J87" s="142"/>
      <c r="K87" s="158">
        <f>N87-L87-M87</f>
        <v>0</v>
      </c>
      <c r="L87" s="142"/>
      <c r="M87" s="142"/>
      <c r="N87" s="158">
        <f>H87*I87*J87</f>
        <v>0</v>
      </c>
    </row>
    <row r="88" spans="2:25" ht="15" hidden="1" customHeight="1" x14ac:dyDescent="0.25">
      <c r="B88" s="201">
        <v>3</v>
      </c>
      <c r="C88" s="870"/>
      <c r="D88" s="870"/>
      <c r="E88" s="870"/>
      <c r="F88" s="870"/>
      <c r="G88" s="853"/>
      <c r="H88" s="193"/>
      <c r="I88" s="177"/>
      <c r="J88" s="142"/>
      <c r="K88" s="158">
        <f>N88-L88-M88</f>
        <v>0</v>
      </c>
      <c r="L88" s="142"/>
      <c r="M88" s="142"/>
      <c r="N88" s="158">
        <f>H88*I88*J88</f>
        <v>0</v>
      </c>
    </row>
    <row r="89" spans="2:25" ht="15" hidden="1" customHeight="1" x14ac:dyDescent="0.25">
      <c r="B89" s="553">
        <v>4</v>
      </c>
      <c r="C89" s="870"/>
      <c r="D89" s="870"/>
      <c r="E89" s="870"/>
      <c r="F89" s="870"/>
      <c r="G89" s="853"/>
      <c r="H89" s="193"/>
      <c r="I89" s="177"/>
      <c r="J89" s="142"/>
      <c r="K89" s="158">
        <f>N89-L89-M89</f>
        <v>0</v>
      </c>
      <c r="L89" s="142"/>
      <c r="M89" s="142"/>
      <c r="N89" s="158">
        <f>H89*I89*J89</f>
        <v>0</v>
      </c>
    </row>
    <row r="90" spans="2:25" ht="15" hidden="1" customHeight="1" x14ac:dyDescent="0.25">
      <c r="B90" s="201">
        <v>5</v>
      </c>
      <c r="C90" s="870"/>
      <c r="D90" s="870"/>
      <c r="E90" s="870"/>
      <c r="F90" s="870"/>
      <c r="G90" s="853"/>
      <c r="H90" s="193"/>
      <c r="I90" s="177"/>
      <c r="J90" s="142"/>
      <c r="K90" s="158">
        <f>N90-L90-M90</f>
        <v>0</v>
      </c>
      <c r="L90" s="142"/>
      <c r="M90" s="142"/>
      <c r="N90" s="158">
        <f>H90*I90*J90</f>
        <v>0</v>
      </c>
    </row>
    <row r="91" spans="2:25" ht="15" hidden="1" customHeight="1" x14ac:dyDescent="0.25">
      <c r="B91" s="210"/>
      <c r="C91" s="874" t="s">
        <v>4857</v>
      </c>
      <c r="D91" s="874"/>
      <c r="E91" s="874"/>
      <c r="F91" s="874"/>
      <c r="G91" s="874"/>
      <c r="H91" s="874"/>
      <c r="I91" s="874"/>
      <c r="J91" s="875"/>
      <c r="K91" s="158">
        <f>SUM(K86:K90)</f>
        <v>0</v>
      </c>
      <c r="L91" s="158">
        <f>SUM(L86:L90)</f>
        <v>0</v>
      </c>
      <c r="M91" s="158">
        <f>SUM(M86:M90)</f>
        <v>0</v>
      </c>
      <c r="N91" s="158">
        <f>SUM(N86:N90)</f>
        <v>0</v>
      </c>
    </row>
    <row r="92" spans="2:25" ht="15" hidden="1" customHeight="1" x14ac:dyDescent="0.25">
      <c r="B92" s="206"/>
      <c r="C92" s="838" t="s">
        <v>4862</v>
      </c>
      <c r="D92" s="838"/>
      <c r="E92" s="838"/>
      <c r="F92" s="838"/>
      <c r="G92" s="838"/>
      <c r="H92" s="838"/>
      <c r="I92" s="838"/>
      <c r="J92" s="839"/>
      <c r="K92" s="207">
        <f>SUM(K84,K91)</f>
        <v>0</v>
      </c>
      <c r="L92" s="207">
        <f>SUM(L84,L91)</f>
        <v>0</v>
      </c>
      <c r="M92" s="207">
        <f>SUM(M84,M91)</f>
        <v>0</v>
      </c>
      <c r="N92" s="207">
        <f>SUM(N84,N91)</f>
        <v>0</v>
      </c>
    </row>
    <row r="93" spans="2:25" ht="15" hidden="1" customHeight="1" x14ac:dyDescent="0.25">
      <c r="B93" s="861" t="s">
        <v>4090</v>
      </c>
      <c r="C93" s="862"/>
      <c r="D93" s="862"/>
      <c r="E93" s="862"/>
      <c r="F93" s="862"/>
      <c r="G93" s="862"/>
      <c r="H93" s="862"/>
      <c r="I93" s="862"/>
      <c r="J93" s="862"/>
      <c r="K93" s="857" t="s">
        <v>3909</v>
      </c>
      <c r="L93" s="857"/>
      <c r="M93" s="857"/>
      <c r="N93" s="857"/>
    </row>
    <row r="94" spans="2:25" ht="15" hidden="1" customHeight="1" x14ac:dyDescent="0.25">
      <c r="B94" s="210"/>
      <c r="C94" s="836" t="s">
        <v>14</v>
      </c>
      <c r="D94" s="836"/>
      <c r="E94" s="836"/>
      <c r="F94" s="836"/>
      <c r="G94" s="836"/>
      <c r="H94" s="836"/>
      <c r="I94" s="836"/>
      <c r="J94" s="837"/>
      <c r="K94" s="158">
        <v>0</v>
      </c>
      <c r="L94" s="290"/>
      <c r="M94" s="291"/>
      <c r="N94" s="158">
        <f>K94</f>
        <v>0</v>
      </c>
    </row>
    <row r="95" spans="2:25" ht="15" hidden="1" customHeight="1" x14ac:dyDescent="0.25">
      <c r="B95" s="863" t="s">
        <v>3933</v>
      </c>
      <c r="C95" s="864"/>
      <c r="D95" s="864"/>
      <c r="E95" s="864"/>
      <c r="F95" s="864"/>
      <c r="G95" s="864"/>
      <c r="H95" s="865"/>
      <c r="I95" s="543" t="s">
        <v>3980</v>
      </c>
      <c r="J95" s="543" t="s">
        <v>3981</v>
      </c>
      <c r="K95" s="200" t="s">
        <v>3982</v>
      </c>
      <c r="L95" s="152" t="s">
        <v>4086</v>
      </c>
      <c r="M95" s="152" t="s">
        <v>4087</v>
      </c>
      <c r="N95" s="153" t="s">
        <v>4062</v>
      </c>
      <c r="P95" s="72"/>
    </row>
    <row r="96" spans="2:25" ht="15" hidden="1" customHeight="1" x14ac:dyDescent="0.25">
      <c r="B96" s="216">
        <v>1</v>
      </c>
      <c r="C96" s="855"/>
      <c r="D96" s="855"/>
      <c r="E96" s="855"/>
      <c r="F96" s="855"/>
      <c r="G96" s="855"/>
      <c r="H96" s="856"/>
      <c r="I96" s="177"/>
      <c r="J96" s="142"/>
      <c r="K96" s="158">
        <f>N96-L96-M96</f>
        <v>0</v>
      </c>
      <c r="L96" s="142"/>
      <c r="M96" s="142"/>
      <c r="N96" s="158">
        <f>I96*J96</f>
        <v>0</v>
      </c>
    </row>
    <row r="97" spans="2:16" ht="15" hidden="1" customHeight="1" x14ac:dyDescent="0.25">
      <c r="B97" s="216">
        <v>2</v>
      </c>
      <c r="C97" s="855"/>
      <c r="D97" s="855"/>
      <c r="E97" s="855"/>
      <c r="F97" s="855"/>
      <c r="G97" s="855"/>
      <c r="H97" s="856"/>
      <c r="I97" s="177"/>
      <c r="J97" s="142"/>
      <c r="K97" s="158">
        <f>N97-L97-M97</f>
        <v>0</v>
      </c>
      <c r="L97" s="142"/>
      <c r="M97" s="142"/>
      <c r="N97" s="158">
        <f>I97*J97</f>
        <v>0</v>
      </c>
    </row>
    <row r="98" spans="2:16" ht="15" hidden="1" customHeight="1" x14ac:dyDescent="0.25">
      <c r="B98" s="216">
        <v>3</v>
      </c>
      <c r="C98" s="855"/>
      <c r="D98" s="855"/>
      <c r="E98" s="855"/>
      <c r="F98" s="855"/>
      <c r="G98" s="855"/>
      <c r="H98" s="856"/>
      <c r="I98" s="177"/>
      <c r="J98" s="142"/>
      <c r="K98" s="158">
        <f>N98-L98-M98</f>
        <v>0</v>
      </c>
      <c r="L98" s="142"/>
      <c r="M98" s="142"/>
      <c r="N98" s="158">
        <f>I98*J98</f>
        <v>0</v>
      </c>
    </row>
    <row r="99" spans="2:16" ht="15" hidden="1" customHeight="1" x14ac:dyDescent="0.25">
      <c r="B99" s="210"/>
      <c r="C99" s="836" t="s">
        <v>3933</v>
      </c>
      <c r="D99" s="836"/>
      <c r="E99" s="836"/>
      <c r="F99" s="836"/>
      <c r="G99" s="836"/>
      <c r="H99" s="836"/>
      <c r="I99" s="836"/>
      <c r="J99" s="837"/>
      <c r="K99" s="158">
        <f>SUM(K96:K98)</f>
        <v>0</v>
      </c>
      <c r="L99" s="158">
        <f>SUM(L96:L98)</f>
        <v>0</v>
      </c>
      <c r="M99" s="158">
        <f>SUM(M96:M98)</f>
        <v>0</v>
      </c>
      <c r="N99" s="158">
        <f>SUM(N96:N98)</f>
        <v>0</v>
      </c>
    </row>
    <row r="100" spans="2:16" ht="15" hidden="1" customHeight="1" x14ac:dyDescent="0.25">
      <c r="B100" s="206"/>
      <c r="C100" s="838" t="s">
        <v>4863</v>
      </c>
      <c r="D100" s="838"/>
      <c r="E100" s="838"/>
      <c r="F100" s="838"/>
      <c r="G100" s="838"/>
      <c r="H100" s="838"/>
      <c r="I100" s="838"/>
      <c r="J100" s="839"/>
      <c r="K100" s="207">
        <f>SUM(K94,K99)</f>
        <v>0</v>
      </c>
      <c r="L100" s="207">
        <f>SUM(L94,L99)</f>
        <v>0</v>
      </c>
      <c r="M100" s="207">
        <f>SUM(M94,M99)</f>
        <v>0</v>
      </c>
      <c r="N100" s="207">
        <f>SUM(N94,N99)</f>
        <v>0</v>
      </c>
    </row>
    <row r="101" spans="2:16" ht="15" hidden="1" customHeight="1" x14ac:dyDescent="0.25">
      <c r="B101" s="217"/>
      <c r="C101" s="840" t="s">
        <v>4858</v>
      </c>
      <c r="D101" s="840"/>
      <c r="E101" s="840"/>
      <c r="F101" s="840"/>
      <c r="G101" s="840"/>
      <c r="H101" s="840"/>
      <c r="I101" s="840"/>
      <c r="J101" s="841"/>
      <c r="K101" s="164">
        <f>SUM(K82,K92,K100)</f>
        <v>0</v>
      </c>
      <c r="L101" s="164">
        <f>SUM(L82,L92,L100)</f>
        <v>0</v>
      </c>
      <c r="M101" s="164">
        <f>SUM(M82,M92,M100)</f>
        <v>0</v>
      </c>
      <c r="N101" s="164">
        <f>SUM(N82,N92,N100)</f>
        <v>0</v>
      </c>
    </row>
    <row r="102" spans="2:16" ht="15" hidden="1" customHeight="1" x14ac:dyDescent="0.25">
      <c r="B102" s="858" t="s">
        <v>3934</v>
      </c>
      <c r="C102" s="859"/>
      <c r="D102" s="859"/>
      <c r="E102" s="859"/>
      <c r="F102" s="859"/>
      <c r="G102" s="859"/>
      <c r="H102" s="859"/>
      <c r="I102" s="859"/>
      <c r="J102" s="859"/>
      <c r="K102" s="859"/>
      <c r="L102" s="859"/>
      <c r="M102" s="859"/>
      <c r="N102" s="860"/>
    </row>
    <row r="103" spans="2:16" ht="15" hidden="1" customHeight="1" x14ac:dyDescent="0.25">
      <c r="B103" s="861" t="s">
        <v>4081</v>
      </c>
      <c r="C103" s="862"/>
      <c r="D103" s="862"/>
      <c r="E103" s="862"/>
      <c r="F103" s="862"/>
      <c r="G103" s="862"/>
      <c r="H103" s="862"/>
      <c r="I103" s="862"/>
      <c r="J103" s="862"/>
      <c r="K103" s="857" t="s">
        <v>3909</v>
      </c>
      <c r="L103" s="857"/>
      <c r="M103" s="857"/>
      <c r="N103" s="857"/>
    </row>
    <row r="104" spans="2:16" ht="15" hidden="1" customHeight="1" x14ac:dyDescent="0.25">
      <c r="B104" s="210"/>
      <c r="C104" s="836" t="s">
        <v>3935</v>
      </c>
      <c r="D104" s="836"/>
      <c r="E104" s="836"/>
      <c r="F104" s="836"/>
      <c r="G104" s="836"/>
      <c r="H104" s="836"/>
      <c r="I104" s="836"/>
      <c r="J104" s="837"/>
      <c r="K104" s="158">
        <v>0</v>
      </c>
      <c r="L104" s="290"/>
      <c r="M104" s="291"/>
      <c r="N104" s="158">
        <f>K104</f>
        <v>0</v>
      </c>
    </row>
    <row r="105" spans="2:16" ht="15" hidden="1" customHeight="1" x14ac:dyDescent="0.25">
      <c r="B105" s="863" t="s">
        <v>3923</v>
      </c>
      <c r="C105" s="864"/>
      <c r="D105" s="864"/>
      <c r="E105" s="864"/>
      <c r="F105" s="864"/>
      <c r="G105" s="864"/>
      <c r="H105" s="865"/>
      <c r="I105" s="543" t="s">
        <v>3980</v>
      </c>
      <c r="J105" s="543" t="s">
        <v>3981</v>
      </c>
      <c r="K105" s="200" t="s">
        <v>3982</v>
      </c>
      <c r="L105" s="152" t="s">
        <v>4086</v>
      </c>
      <c r="M105" s="152" t="s">
        <v>4087</v>
      </c>
      <c r="N105" s="153" t="s">
        <v>4062</v>
      </c>
      <c r="P105" s="72"/>
    </row>
    <row r="106" spans="2:16" ht="15" hidden="1" customHeight="1" x14ac:dyDescent="0.25">
      <c r="B106" s="216">
        <v>1</v>
      </c>
      <c r="C106" s="855"/>
      <c r="D106" s="855"/>
      <c r="E106" s="855"/>
      <c r="F106" s="855"/>
      <c r="G106" s="855"/>
      <c r="H106" s="856"/>
      <c r="I106" s="177"/>
      <c r="J106" s="142"/>
      <c r="K106" s="158">
        <f>N106-L106-M106</f>
        <v>0</v>
      </c>
      <c r="L106" s="142"/>
      <c r="M106" s="142"/>
      <c r="N106" s="158">
        <f>I106*J106</f>
        <v>0</v>
      </c>
    </row>
    <row r="107" spans="2:16" ht="15" hidden="1" customHeight="1" x14ac:dyDescent="0.25">
      <c r="B107" s="216">
        <v>2</v>
      </c>
      <c r="C107" s="855"/>
      <c r="D107" s="855"/>
      <c r="E107" s="855"/>
      <c r="F107" s="855"/>
      <c r="G107" s="855"/>
      <c r="H107" s="856"/>
      <c r="I107" s="177"/>
      <c r="J107" s="142"/>
      <c r="K107" s="158">
        <f>N107-L107-M107</f>
        <v>0</v>
      </c>
      <c r="L107" s="142"/>
      <c r="M107" s="142"/>
      <c r="N107" s="158">
        <f>I107*J107</f>
        <v>0</v>
      </c>
    </row>
    <row r="108" spans="2:16" ht="15" hidden="1" customHeight="1" x14ac:dyDescent="0.25">
      <c r="B108" s="216">
        <v>3</v>
      </c>
      <c r="C108" s="855"/>
      <c r="D108" s="855"/>
      <c r="E108" s="855"/>
      <c r="F108" s="855"/>
      <c r="G108" s="855"/>
      <c r="H108" s="856"/>
      <c r="I108" s="177"/>
      <c r="J108" s="142"/>
      <c r="K108" s="158">
        <f>N108-L108-M108</f>
        <v>0</v>
      </c>
      <c r="L108" s="142"/>
      <c r="M108" s="142"/>
      <c r="N108" s="158">
        <f>I108*J108</f>
        <v>0</v>
      </c>
    </row>
    <row r="109" spans="2:16" ht="15" hidden="1" customHeight="1" x14ac:dyDescent="0.25">
      <c r="B109" s="210"/>
      <c r="C109" s="836" t="s">
        <v>3923</v>
      </c>
      <c r="D109" s="836"/>
      <c r="E109" s="836"/>
      <c r="F109" s="836"/>
      <c r="G109" s="836"/>
      <c r="H109" s="836"/>
      <c r="I109" s="836"/>
      <c r="J109" s="837"/>
      <c r="K109" s="158">
        <f>SUM(K106:K108)</f>
        <v>0</v>
      </c>
      <c r="L109" s="158">
        <f>SUM(L106:L108)</f>
        <v>0</v>
      </c>
      <c r="M109" s="158">
        <f>SUM(M106:M108)</f>
        <v>0</v>
      </c>
      <c r="N109" s="158">
        <f>SUM(N106:N108)</f>
        <v>0</v>
      </c>
    </row>
    <row r="110" spans="2:16" ht="15" hidden="1" customHeight="1" x14ac:dyDescent="0.25">
      <c r="B110" s="863" t="s">
        <v>3925</v>
      </c>
      <c r="C110" s="864"/>
      <c r="D110" s="864"/>
      <c r="E110" s="864"/>
      <c r="F110" s="864"/>
      <c r="G110" s="864"/>
      <c r="H110" s="865"/>
      <c r="I110" s="543" t="s">
        <v>3980</v>
      </c>
      <c r="J110" s="543" t="s">
        <v>3981</v>
      </c>
      <c r="K110" s="200" t="s">
        <v>3982</v>
      </c>
      <c r="L110" s="152" t="s">
        <v>4086</v>
      </c>
      <c r="M110" s="152" t="s">
        <v>4087</v>
      </c>
      <c r="N110" s="153" t="s">
        <v>4062</v>
      </c>
      <c r="P110" s="72"/>
    </row>
    <row r="111" spans="2:16" ht="15" hidden="1" customHeight="1" x14ac:dyDescent="0.25">
      <c r="B111" s="216">
        <v>1</v>
      </c>
      <c r="C111" s="855"/>
      <c r="D111" s="855"/>
      <c r="E111" s="855"/>
      <c r="F111" s="855"/>
      <c r="G111" s="855"/>
      <c r="H111" s="856"/>
      <c r="I111" s="177"/>
      <c r="J111" s="142"/>
      <c r="K111" s="158">
        <f>N111-L111-M111</f>
        <v>0</v>
      </c>
      <c r="L111" s="142"/>
      <c r="M111" s="142"/>
      <c r="N111" s="158">
        <f>I111*J111</f>
        <v>0</v>
      </c>
    </row>
    <row r="112" spans="2:16" ht="15" hidden="1" customHeight="1" x14ac:dyDescent="0.25">
      <c r="B112" s="216">
        <v>2</v>
      </c>
      <c r="C112" s="855"/>
      <c r="D112" s="855"/>
      <c r="E112" s="855"/>
      <c r="F112" s="855"/>
      <c r="G112" s="855"/>
      <c r="H112" s="856"/>
      <c r="I112" s="177"/>
      <c r="J112" s="142"/>
      <c r="K112" s="158">
        <f>N112-L112-M112</f>
        <v>0</v>
      </c>
      <c r="L112" s="142"/>
      <c r="M112" s="142"/>
      <c r="N112" s="158">
        <f>I112*J112</f>
        <v>0</v>
      </c>
    </row>
    <row r="113" spans="2:16" ht="15" hidden="1" customHeight="1" x14ac:dyDescent="0.25">
      <c r="B113" s="216">
        <v>3</v>
      </c>
      <c r="C113" s="855"/>
      <c r="D113" s="855"/>
      <c r="E113" s="855"/>
      <c r="F113" s="855"/>
      <c r="G113" s="855"/>
      <c r="H113" s="856"/>
      <c r="I113" s="177"/>
      <c r="J113" s="142"/>
      <c r="K113" s="158">
        <f>N113-L113-M113</f>
        <v>0</v>
      </c>
      <c r="L113" s="142"/>
      <c r="M113" s="142"/>
      <c r="N113" s="158">
        <f>I113*J113</f>
        <v>0</v>
      </c>
    </row>
    <row r="114" spans="2:16" ht="15" hidden="1" customHeight="1" x14ac:dyDescent="0.25">
      <c r="B114" s="210"/>
      <c r="C114" s="836" t="s">
        <v>3925</v>
      </c>
      <c r="D114" s="836"/>
      <c r="E114" s="836"/>
      <c r="F114" s="836"/>
      <c r="G114" s="836"/>
      <c r="H114" s="836"/>
      <c r="I114" s="836"/>
      <c r="J114" s="837"/>
      <c r="K114" s="158">
        <f>SUM(K111:K113)</f>
        <v>0</v>
      </c>
      <c r="L114" s="158">
        <f>SUM(L111:L113)</f>
        <v>0</v>
      </c>
      <c r="M114" s="158">
        <f>SUM(M111:M113)</f>
        <v>0</v>
      </c>
      <c r="N114" s="158">
        <f>SUM(N111:N113)</f>
        <v>0</v>
      </c>
    </row>
    <row r="115" spans="2:16" ht="15" hidden="1" customHeight="1" x14ac:dyDescent="0.25">
      <c r="B115" s="210"/>
      <c r="C115" s="836" t="s">
        <v>3926</v>
      </c>
      <c r="D115" s="836"/>
      <c r="E115" s="836"/>
      <c r="F115" s="836"/>
      <c r="G115" s="836"/>
      <c r="H115" s="836"/>
      <c r="I115" s="836"/>
      <c r="J115" s="837"/>
      <c r="K115" s="158">
        <f>[1]Descarte!K187</f>
        <v>0</v>
      </c>
      <c r="L115" s="158">
        <f>[1]Descarte!L187</f>
        <v>0</v>
      </c>
      <c r="M115" s="158">
        <f>[1]Descarte!M187</f>
        <v>0</v>
      </c>
      <c r="N115" s="158">
        <f>[1]Descarte!N187</f>
        <v>0</v>
      </c>
    </row>
    <row r="116" spans="2:16" ht="15" hidden="1" customHeight="1" x14ac:dyDescent="0.25">
      <c r="B116" s="210"/>
      <c r="C116" s="836" t="s">
        <v>3927</v>
      </c>
      <c r="D116" s="836"/>
      <c r="E116" s="836"/>
      <c r="F116" s="836"/>
      <c r="G116" s="836"/>
      <c r="H116" s="836"/>
      <c r="I116" s="836"/>
      <c r="J116" s="837"/>
      <c r="K116" s="158">
        <f>'[1]M&amp;V'!M874</f>
        <v>0</v>
      </c>
      <c r="L116" s="158">
        <f>'[1]M&amp;V'!N874</f>
        <v>0</v>
      </c>
      <c r="M116" s="158">
        <f>'[1]M&amp;V'!O874</f>
        <v>0</v>
      </c>
      <c r="N116" s="158">
        <f>'[1]M&amp;V'!P874</f>
        <v>0</v>
      </c>
    </row>
    <row r="117" spans="2:16" ht="15" hidden="1" customHeight="1" x14ac:dyDescent="0.25">
      <c r="B117" s="863" t="s">
        <v>3929</v>
      </c>
      <c r="C117" s="864"/>
      <c r="D117" s="864"/>
      <c r="E117" s="864"/>
      <c r="F117" s="864"/>
      <c r="G117" s="864"/>
      <c r="H117" s="865"/>
      <c r="I117" s="543" t="s">
        <v>3980</v>
      </c>
      <c r="J117" s="543" t="s">
        <v>3981</v>
      </c>
      <c r="K117" s="200" t="s">
        <v>3982</v>
      </c>
      <c r="L117" s="152" t="s">
        <v>4086</v>
      </c>
      <c r="M117" s="152" t="s">
        <v>4087</v>
      </c>
      <c r="N117" s="153" t="s">
        <v>4062</v>
      </c>
      <c r="P117" s="72"/>
    </row>
    <row r="118" spans="2:16" hidden="1" x14ac:dyDescent="0.25">
      <c r="B118" s="216">
        <v>1</v>
      </c>
      <c r="C118" s="855"/>
      <c r="D118" s="855"/>
      <c r="E118" s="855"/>
      <c r="F118" s="855"/>
      <c r="G118" s="855"/>
      <c r="H118" s="856"/>
      <c r="I118" s="177"/>
      <c r="J118" s="142"/>
      <c r="K118" s="158">
        <f>N118-L118-M118</f>
        <v>0</v>
      </c>
      <c r="L118" s="142"/>
      <c r="M118" s="142"/>
      <c r="N118" s="158">
        <f>I118*J118</f>
        <v>0</v>
      </c>
    </row>
    <row r="119" spans="2:16" hidden="1" x14ac:dyDescent="0.25">
      <c r="B119" s="216">
        <v>2</v>
      </c>
      <c r="C119" s="855"/>
      <c r="D119" s="855"/>
      <c r="E119" s="855"/>
      <c r="F119" s="855"/>
      <c r="G119" s="855"/>
      <c r="H119" s="856"/>
      <c r="I119" s="177"/>
      <c r="J119" s="142"/>
      <c r="K119" s="158">
        <f>N119-L119-M119</f>
        <v>0</v>
      </c>
      <c r="L119" s="142"/>
      <c r="M119" s="142"/>
      <c r="N119" s="158">
        <f>I119*J119</f>
        <v>0</v>
      </c>
    </row>
    <row r="120" spans="2:16" hidden="1" x14ac:dyDescent="0.25">
      <c r="B120" s="216">
        <v>3</v>
      </c>
      <c r="C120" s="855"/>
      <c r="D120" s="855"/>
      <c r="E120" s="855"/>
      <c r="F120" s="855"/>
      <c r="G120" s="855"/>
      <c r="H120" s="856"/>
      <c r="I120" s="177"/>
      <c r="J120" s="142"/>
      <c r="K120" s="158">
        <f>N120-L120-M120</f>
        <v>0</v>
      </c>
      <c r="L120" s="142"/>
      <c r="M120" s="142"/>
      <c r="N120" s="158">
        <f>I120*J120</f>
        <v>0</v>
      </c>
    </row>
    <row r="121" spans="2:16" hidden="1" x14ac:dyDescent="0.25">
      <c r="B121" s="210"/>
      <c r="C121" s="836" t="s">
        <v>3929</v>
      </c>
      <c r="D121" s="836"/>
      <c r="E121" s="836"/>
      <c r="F121" s="836"/>
      <c r="G121" s="836"/>
      <c r="H121" s="836"/>
      <c r="I121" s="836"/>
      <c r="J121" s="837"/>
      <c r="K121" s="158">
        <f>SUM(K118:K120)</f>
        <v>0</v>
      </c>
      <c r="L121" s="158">
        <f>SUM(L118:L120)</f>
        <v>0</v>
      </c>
      <c r="M121" s="158">
        <f>SUM(M118:M120)</f>
        <v>0</v>
      </c>
      <c r="N121" s="158">
        <f>SUM(N118:N120)</f>
        <v>0</v>
      </c>
    </row>
    <row r="122" spans="2:16" hidden="1" x14ac:dyDescent="0.25">
      <c r="B122" s="217"/>
      <c r="C122" s="840" t="s">
        <v>4859</v>
      </c>
      <c r="D122" s="840"/>
      <c r="E122" s="840"/>
      <c r="F122" s="840"/>
      <c r="G122" s="840"/>
      <c r="H122" s="840"/>
      <c r="I122" s="840"/>
      <c r="J122" s="841"/>
      <c r="K122" s="164">
        <f>SUM(K104,K109,K114:K116,K121)</f>
        <v>0</v>
      </c>
      <c r="L122" s="164">
        <f>SUM(L104,L109,L114:L116,L121)</f>
        <v>0</v>
      </c>
      <c r="M122" s="164">
        <f>SUM(M104,M109,M114:M116,M121)</f>
        <v>0</v>
      </c>
      <c r="N122" s="164">
        <f>SUM(N104,N109,N114:N116,N121)</f>
        <v>0</v>
      </c>
    </row>
    <row r="123" spans="2:16" hidden="1" x14ac:dyDescent="0.25">
      <c r="B123" s="218"/>
      <c r="C123" s="818" t="s">
        <v>4864</v>
      </c>
      <c r="D123" s="818"/>
      <c r="E123" s="818"/>
      <c r="F123" s="818"/>
      <c r="G123" s="818"/>
      <c r="H123" s="818"/>
      <c r="I123" s="818"/>
      <c r="J123" s="819"/>
      <c r="K123" s="209">
        <f>SUM(K101,K122)</f>
        <v>0</v>
      </c>
      <c r="L123" s="209">
        <f>SUM(L101,L122)</f>
        <v>0</v>
      </c>
      <c r="M123" s="209">
        <f>SUM(M101,M122)</f>
        <v>0</v>
      </c>
      <c r="N123" s="209">
        <f>SUM(N101,N122)</f>
        <v>0</v>
      </c>
    </row>
  </sheetData>
  <sheetProtection algorithmName="SHA-512" hashValue="rRdgYIuUcZIsIAkbACRY6CcjdgzCaFe69sujmOLy9H681ARgyVpAF5QW94n5GmShCi8Z/qxYXTXnASS5CkYhDQ==" saltValue="iMUm9EasKhZCND264Z8FaA==" spinCount="100000" sheet="1" objects="1" scenarios="1"/>
  <mergeCells count="179">
    <mergeCell ref="B5:G5"/>
    <mergeCell ref="P5:U5"/>
    <mergeCell ref="C6:G6"/>
    <mergeCell ref="Q6:U6"/>
    <mergeCell ref="C7:G7"/>
    <mergeCell ref="Q7:U7"/>
    <mergeCell ref="B2:N2"/>
    <mergeCell ref="P2:Y2"/>
    <mergeCell ref="B3:N3"/>
    <mergeCell ref="P3:Y3"/>
    <mergeCell ref="B4:J4"/>
    <mergeCell ref="K4:N4"/>
    <mergeCell ref="P4:X4"/>
    <mergeCell ref="C11:G11"/>
    <mergeCell ref="Q11:U11"/>
    <mergeCell ref="C12:G12"/>
    <mergeCell ref="Q12:U12"/>
    <mergeCell ref="C13:G13"/>
    <mergeCell ref="Q13:U13"/>
    <mergeCell ref="C8:G8"/>
    <mergeCell ref="Q8:U8"/>
    <mergeCell ref="C9:G9"/>
    <mergeCell ref="Q9:U9"/>
    <mergeCell ref="C10:G10"/>
    <mergeCell ref="Q10:U10"/>
    <mergeCell ref="C17:G17"/>
    <mergeCell ref="Q17:U17"/>
    <mergeCell ref="C18:G18"/>
    <mergeCell ref="Q18:U18"/>
    <mergeCell ref="C19:G19"/>
    <mergeCell ref="Q19:U19"/>
    <mergeCell ref="C14:G14"/>
    <mergeCell ref="Q14:U14"/>
    <mergeCell ref="C15:G15"/>
    <mergeCell ref="Q15:U15"/>
    <mergeCell ref="C16:G16"/>
    <mergeCell ref="Q16:U16"/>
    <mergeCell ref="C23:G23"/>
    <mergeCell ref="Q23:U23"/>
    <mergeCell ref="C24:G24"/>
    <mergeCell ref="Q24:U24"/>
    <mergeCell ref="C25:G25"/>
    <mergeCell ref="Q25:U25"/>
    <mergeCell ref="C20:G20"/>
    <mergeCell ref="Q20:U20"/>
    <mergeCell ref="C21:G21"/>
    <mergeCell ref="Q21:U21"/>
    <mergeCell ref="C22:G22"/>
    <mergeCell ref="Q22:U22"/>
    <mergeCell ref="B30:G30"/>
    <mergeCell ref="C31:G31"/>
    <mergeCell ref="C32:G32"/>
    <mergeCell ref="C33:G33"/>
    <mergeCell ref="C34:G34"/>
    <mergeCell ref="C35:G35"/>
    <mergeCell ref="C26:G26"/>
    <mergeCell ref="Q26:U26"/>
    <mergeCell ref="C27:J27"/>
    <mergeCell ref="P27:V27"/>
    <mergeCell ref="B28:J29"/>
    <mergeCell ref="K28:N29"/>
    <mergeCell ref="B42:H42"/>
    <mergeCell ref="C43:H43"/>
    <mergeCell ref="C44:H44"/>
    <mergeCell ref="C45:H45"/>
    <mergeCell ref="C47:J47"/>
    <mergeCell ref="C36:G36"/>
    <mergeCell ref="C37:G37"/>
    <mergeCell ref="C38:J38"/>
    <mergeCell ref="C39:J39"/>
    <mergeCell ref="B40:N40"/>
    <mergeCell ref="B41:J41"/>
    <mergeCell ref="K41:N41"/>
    <mergeCell ref="C54:J54"/>
    <mergeCell ref="C55:J55"/>
    <mergeCell ref="B57:N57"/>
    <mergeCell ref="P57:Y57"/>
    <mergeCell ref="B58:N58"/>
    <mergeCell ref="P58:Y58"/>
    <mergeCell ref="C48:J48"/>
    <mergeCell ref="B49:H49"/>
    <mergeCell ref="C50:H50"/>
    <mergeCell ref="C51:H51"/>
    <mergeCell ref="C52:H52"/>
    <mergeCell ref="C53:J53"/>
    <mergeCell ref="C62:G62"/>
    <mergeCell ref="Q62:U62"/>
    <mergeCell ref="C63:G63"/>
    <mergeCell ref="Q63:U63"/>
    <mergeCell ref="C64:G64"/>
    <mergeCell ref="Q64:U64"/>
    <mergeCell ref="B59:J59"/>
    <mergeCell ref="K59:N59"/>
    <mergeCell ref="P59:X59"/>
    <mergeCell ref="B60:G60"/>
    <mergeCell ref="P60:U60"/>
    <mergeCell ref="C61:G61"/>
    <mergeCell ref="Q61:U61"/>
    <mergeCell ref="C68:G68"/>
    <mergeCell ref="Q68:U68"/>
    <mergeCell ref="C69:G69"/>
    <mergeCell ref="Q69:U69"/>
    <mergeCell ref="C70:G70"/>
    <mergeCell ref="Q70:U70"/>
    <mergeCell ref="C65:G65"/>
    <mergeCell ref="Q65:U65"/>
    <mergeCell ref="C66:G66"/>
    <mergeCell ref="Q66:U66"/>
    <mergeCell ref="C67:G67"/>
    <mergeCell ref="Q67:U67"/>
    <mergeCell ref="C74:G74"/>
    <mergeCell ref="Q74:U74"/>
    <mergeCell ref="C75:G75"/>
    <mergeCell ref="Q75:U75"/>
    <mergeCell ref="C76:G76"/>
    <mergeCell ref="Q76:U76"/>
    <mergeCell ref="C71:G71"/>
    <mergeCell ref="Q71:U71"/>
    <mergeCell ref="C72:G72"/>
    <mergeCell ref="Q72:U72"/>
    <mergeCell ref="C73:G73"/>
    <mergeCell ref="Q73:U73"/>
    <mergeCell ref="C80:G80"/>
    <mergeCell ref="Q80:U80"/>
    <mergeCell ref="C81:G81"/>
    <mergeCell ref="Q81:U81"/>
    <mergeCell ref="C82:J82"/>
    <mergeCell ref="P82:V82"/>
    <mergeCell ref="C77:G77"/>
    <mergeCell ref="Q77:U77"/>
    <mergeCell ref="C78:G78"/>
    <mergeCell ref="Q78:U78"/>
    <mergeCell ref="C79:G79"/>
    <mergeCell ref="Q79:U79"/>
    <mergeCell ref="C88:G88"/>
    <mergeCell ref="C89:G89"/>
    <mergeCell ref="C90:G90"/>
    <mergeCell ref="C91:J91"/>
    <mergeCell ref="C92:J92"/>
    <mergeCell ref="B93:J93"/>
    <mergeCell ref="B83:J83"/>
    <mergeCell ref="K83:N83"/>
    <mergeCell ref="C84:J84"/>
    <mergeCell ref="B85:G85"/>
    <mergeCell ref="C86:G86"/>
    <mergeCell ref="C87:G87"/>
    <mergeCell ref="B102:N102"/>
    <mergeCell ref="B103:J103"/>
    <mergeCell ref="K103:N103"/>
    <mergeCell ref="K93:N93"/>
    <mergeCell ref="C94:J94"/>
    <mergeCell ref="B95:H95"/>
    <mergeCell ref="C96:H96"/>
    <mergeCell ref="C97:H97"/>
    <mergeCell ref="C98:H98"/>
    <mergeCell ref="C122:J122"/>
    <mergeCell ref="C123:J123"/>
    <mergeCell ref="C46:H46"/>
    <mergeCell ref="C116:J116"/>
    <mergeCell ref="B117:H117"/>
    <mergeCell ref="C118:H118"/>
    <mergeCell ref="C119:H119"/>
    <mergeCell ref="C120:H120"/>
    <mergeCell ref="C121:J121"/>
    <mergeCell ref="B110:H110"/>
    <mergeCell ref="C111:H111"/>
    <mergeCell ref="C112:H112"/>
    <mergeCell ref="C113:H113"/>
    <mergeCell ref="C114:J114"/>
    <mergeCell ref="C115:J115"/>
    <mergeCell ref="C104:J104"/>
    <mergeCell ref="B105:H105"/>
    <mergeCell ref="C106:H106"/>
    <mergeCell ref="C107:H107"/>
    <mergeCell ref="C108:H108"/>
    <mergeCell ref="C109:J109"/>
    <mergeCell ref="C99:J99"/>
    <mergeCell ref="C100:J100"/>
    <mergeCell ref="C101:J101"/>
  </mergeCells>
  <conditionalFormatting sqref="K6:K27 K31:K39 L38:N38 M39 K43:K48 N48 K50:K55 L55:N55 K61:K82 K84 K86:K92 K94 K96:K101 K104 K106:K109 K111:K116 K118:K123">
    <cfRule type="cellIs" dxfId="1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B52A-DEEA-49A3-B14F-69E1856D7A45}">
  <sheetPr codeName="Planilha2"/>
  <dimension ref="B2:AA41"/>
  <sheetViews>
    <sheetView showGridLines="0" zoomScale="115" zoomScaleNormal="115" workbookViewId="0">
      <selection activeCell="C5" sqref="C5"/>
    </sheetView>
  </sheetViews>
  <sheetFormatPr defaultRowHeight="15" x14ac:dyDescent="0.25"/>
  <cols>
    <col min="1" max="1" width="4.42578125" customWidth="1"/>
    <col min="2" max="2" width="3.140625" bestFit="1" customWidth="1"/>
    <col min="3" max="3" width="68.28515625" customWidth="1"/>
    <col min="4" max="4" width="9.42578125" customWidth="1"/>
    <col min="5" max="5" width="9.85546875" bestFit="1" customWidth="1"/>
    <col min="6" max="6" width="9.42578125" bestFit="1" customWidth="1"/>
    <col min="7" max="7" width="25.140625" bestFit="1" customWidth="1"/>
    <col min="8" max="27" width="10.7109375" customWidth="1"/>
  </cols>
  <sheetData>
    <row r="2" spans="2:27" x14ac:dyDescent="0.25">
      <c r="B2" s="649" t="s">
        <v>5112</v>
      </c>
      <c r="C2" s="650"/>
      <c r="D2" s="650"/>
      <c r="E2" s="650"/>
      <c r="F2" s="65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2:27" x14ac:dyDescent="0.25">
      <c r="B3" s="515"/>
      <c r="C3" s="516"/>
      <c r="D3" s="516"/>
      <c r="E3" s="516"/>
      <c r="F3" s="245"/>
      <c r="G3" s="223" t="s">
        <v>76</v>
      </c>
      <c r="H3" s="224" t="s">
        <v>5113</v>
      </c>
      <c r="I3" s="224" t="s">
        <v>5114</v>
      </c>
      <c r="J3" s="224" t="s">
        <v>5115</v>
      </c>
      <c r="K3" s="224" t="s">
        <v>5116</v>
      </c>
      <c r="L3" s="224" t="s">
        <v>5117</v>
      </c>
      <c r="M3" s="224" t="s">
        <v>5118</v>
      </c>
      <c r="N3" s="224" t="s">
        <v>5119</v>
      </c>
      <c r="O3" s="224" t="s">
        <v>5120</v>
      </c>
      <c r="P3" s="224" t="s">
        <v>5121</v>
      </c>
      <c r="Q3" s="224" t="s">
        <v>5122</v>
      </c>
      <c r="R3" s="224" t="s">
        <v>5123</v>
      </c>
      <c r="S3" s="224" t="s">
        <v>5124</v>
      </c>
      <c r="T3" s="224" t="s">
        <v>5125</v>
      </c>
      <c r="U3" s="224" t="s">
        <v>5126</v>
      </c>
      <c r="V3" s="224" t="s">
        <v>5127</v>
      </c>
      <c r="W3" s="224" t="s">
        <v>5128</v>
      </c>
      <c r="X3" s="224" t="s">
        <v>5129</v>
      </c>
      <c r="Y3" s="224" t="s">
        <v>5130</v>
      </c>
      <c r="Z3" s="224" t="s">
        <v>5131</v>
      </c>
      <c r="AA3" s="224" t="s">
        <v>5132</v>
      </c>
    </row>
    <row r="4" spans="2:27" x14ac:dyDescent="0.25">
      <c r="B4" s="515">
        <v>1</v>
      </c>
      <c r="C4" s="307" t="s">
        <v>4195</v>
      </c>
      <c r="D4" s="516"/>
      <c r="E4" s="516"/>
      <c r="F4" s="245"/>
      <c r="G4" s="223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</row>
    <row r="5" spans="2:27" x14ac:dyDescent="0.25">
      <c r="B5" s="515">
        <v>2</v>
      </c>
      <c r="C5" s="225" t="s">
        <v>4196</v>
      </c>
      <c r="D5" s="225"/>
      <c r="E5" s="226"/>
      <c r="F5" s="246"/>
      <c r="G5" s="22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2:27" x14ac:dyDescent="0.25">
      <c r="B6" s="515">
        <v>3</v>
      </c>
      <c r="C6" s="248" t="s">
        <v>5862</v>
      </c>
      <c r="D6" s="225"/>
      <c r="E6" s="226" t="s">
        <v>4480</v>
      </c>
      <c r="F6" s="227"/>
      <c r="G6" s="22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2:27" ht="18" x14ac:dyDescent="0.25">
      <c r="B7" s="515">
        <v>4</v>
      </c>
      <c r="C7" s="248" t="s">
        <v>5861</v>
      </c>
      <c r="D7" s="230"/>
      <c r="E7" s="231" t="s">
        <v>3857</v>
      </c>
      <c r="F7" s="232" t="s">
        <v>4231</v>
      </c>
      <c r="G7" s="233">
        <f>IF((SUM(H7:AA7))&gt;((SUM(H6:AA6)/3)),"AVISO-Oversizing  inversor",SUM(H7:AA7))</f>
        <v>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2:27" x14ac:dyDescent="0.25">
      <c r="B8" s="515">
        <v>5</v>
      </c>
      <c r="C8" s="225" t="s">
        <v>5863</v>
      </c>
      <c r="D8" s="225"/>
      <c r="E8" s="231" t="s">
        <v>3912</v>
      </c>
      <c r="F8" s="232"/>
      <c r="G8" s="233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</row>
    <row r="9" spans="2:27" x14ac:dyDescent="0.25">
      <c r="B9" s="515">
        <v>6</v>
      </c>
      <c r="C9" s="225" t="s">
        <v>5135</v>
      </c>
      <c r="D9" s="225"/>
      <c r="E9" s="231" t="s">
        <v>3857</v>
      </c>
      <c r="F9" s="232"/>
      <c r="G9" s="233"/>
      <c r="H9" s="236">
        <f>H7*(1-H8)</f>
        <v>0</v>
      </c>
      <c r="I9" s="236">
        <f t="shared" ref="I9:AA9" si="0">I7*(1-I8)</f>
        <v>0</v>
      </c>
      <c r="J9" s="236">
        <f t="shared" si="0"/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6">
        <f t="shared" si="0"/>
        <v>0</v>
      </c>
      <c r="P9" s="236">
        <f t="shared" si="0"/>
        <v>0</v>
      </c>
      <c r="Q9" s="236">
        <f t="shared" si="0"/>
        <v>0</v>
      </c>
      <c r="R9" s="236">
        <f t="shared" si="0"/>
        <v>0</v>
      </c>
      <c r="S9" s="236">
        <f t="shared" si="0"/>
        <v>0</v>
      </c>
      <c r="T9" s="236">
        <f t="shared" si="0"/>
        <v>0</v>
      </c>
      <c r="U9" s="236">
        <f t="shared" si="0"/>
        <v>0</v>
      </c>
      <c r="V9" s="236">
        <f t="shared" si="0"/>
        <v>0</v>
      </c>
      <c r="W9" s="236">
        <f t="shared" si="0"/>
        <v>0</v>
      </c>
      <c r="X9" s="236">
        <f t="shared" si="0"/>
        <v>0</v>
      </c>
      <c r="Y9" s="236">
        <f t="shared" si="0"/>
        <v>0</v>
      </c>
      <c r="Z9" s="236">
        <f t="shared" si="0"/>
        <v>0</v>
      </c>
      <c r="AA9" s="236">
        <f t="shared" si="0"/>
        <v>0</v>
      </c>
    </row>
    <row r="10" spans="2:27" x14ac:dyDescent="0.25">
      <c r="B10" s="961" t="s">
        <v>5136</v>
      </c>
      <c r="C10" s="962"/>
      <c r="D10" s="962"/>
      <c r="E10" s="962"/>
      <c r="F10" s="662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</row>
    <row r="11" spans="2:27" x14ac:dyDescent="0.25">
      <c r="B11" s="899">
        <v>7</v>
      </c>
      <c r="C11" s="591" t="s">
        <v>5137</v>
      </c>
      <c r="D11" s="225"/>
      <c r="E11" s="592" t="s">
        <v>3857</v>
      </c>
      <c r="F11" s="232"/>
      <c r="G11" s="23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2:27" x14ac:dyDescent="0.25">
      <c r="B12" s="900"/>
      <c r="C12" s="225" t="s">
        <v>4207</v>
      </c>
      <c r="D12" s="225"/>
      <c r="E12" s="231" t="s">
        <v>4208</v>
      </c>
      <c r="F12" s="232"/>
      <c r="G12" s="23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2:27" x14ac:dyDescent="0.25">
      <c r="B13" s="900"/>
      <c r="C13" s="239" t="s">
        <v>4209</v>
      </c>
      <c r="D13" s="239"/>
      <c r="E13" s="558" t="s">
        <v>4210</v>
      </c>
      <c r="F13" s="232"/>
      <c r="G13" s="237" t="str">
        <f>IF(COUNTA(H13:DC13)=0,"",IF(OR(LARGE(H13:DC13,1)&gt;365,SMALL(H13:DC13,1)&lt;0),"ERRO",""))</f>
        <v/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2:27" ht="18" x14ac:dyDescent="0.25">
      <c r="B14" s="597">
        <v>8</v>
      </c>
      <c r="C14" s="225" t="s">
        <v>4211</v>
      </c>
      <c r="D14" s="225"/>
      <c r="E14" s="231" t="s">
        <v>4212</v>
      </c>
      <c r="F14" s="232" t="s">
        <v>4234</v>
      </c>
      <c r="G14" s="237" t="str">
        <f>IF(COUNTA(H14:DC14)=0,"",IF(OR(LARGE(H14:DC14,1)&gt;8760,SMALL(H14:DC14,1)&lt;0),"ERRO",""))</f>
        <v/>
      </c>
      <c r="H14" s="241">
        <f>H12*H13</f>
        <v>0</v>
      </c>
      <c r="I14" s="241">
        <f t="shared" ref="I14:AA14" si="1">I12*I13</f>
        <v>0</v>
      </c>
      <c r="J14" s="241">
        <f t="shared" si="1"/>
        <v>0</v>
      </c>
      <c r="K14" s="241">
        <f t="shared" si="1"/>
        <v>0</v>
      </c>
      <c r="L14" s="241">
        <f t="shared" si="1"/>
        <v>0</v>
      </c>
      <c r="M14" s="241">
        <f t="shared" si="1"/>
        <v>0</v>
      </c>
      <c r="N14" s="241">
        <f t="shared" si="1"/>
        <v>0</v>
      </c>
      <c r="O14" s="241">
        <f t="shared" si="1"/>
        <v>0</v>
      </c>
      <c r="P14" s="241">
        <f t="shared" si="1"/>
        <v>0</v>
      </c>
      <c r="Q14" s="241">
        <f t="shared" si="1"/>
        <v>0</v>
      </c>
      <c r="R14" s="241">
        <f t="shared" si="1"/>
        <v>0</v>
      </c>
      <c r="S14" s="241">
        <f t="shared" si="1"/>
        <v>0</v>
      </c>
      <c r="T14" s="241">
        <f t="shared" si="1"/>
        <v>0</v>
      </c>
      <c r="U14" s="241">
        <f t="shared" si="1"/>
        <v>0</v>
      </c>
      <c r="V14" s="241">
        <f t="shared" si="1"/>
        <v>0</v>
      </c>
      <c r="W14" s="241">
        <f t="shared" si="1"/>
        <v>0</v>
      </c>
      <c r="X14" s="241">
        <f t="shared" si="1"/>
        <v>0</v>
      </c>
      <c r="Y14" s="241">
        <f t="shared" si="1"/>
        <v>0</v>
      </c>
      <c r="Z14" s="241">
        <f t="shared" si="1"/>
        <v>0</v>
      </c>
      <c r="AA14" s="241">
        <f t="shared" si="1"/>
        <v>0</v>
      </c>
    </row>
    <row r="15" spans="2:27" ht="18" x14ac:dyDescent="0.25">
      <c r="B15" s="584">
        <v>9</v>
      </c>
      <c r="C15" s="225" t="s">
        <v>4226</v>
      </c>
      <c r="D15" s="225"/>
      <c r="E15" s="231" t="s">
        <v>3854</v>
      </c>
      <c r="F15" s="232" t="s">
        <v>4240</v>
      </c>
      <c r="G15" s="237"/>
      <c r="H15" s="241">
        <f>((H11*H14)/1000)*-1</f>
        <v>0</v>
      </c>
      <c r="I15" s="241">
        <f t="shared" ref="I15:AA15" si="2">((I11*I14)/1000)*-1</f>
        <v>0</v>
      </c>
      <c r="J15" s="241">
        <f t="shared" si="2"/>
        <v>0</v>
      </c>
      <c r="K15" s="241">
        <f t="shared" si="2"/>
        <v>0</v>
      </c>
      <c r="L15" s="241">
        <f t="shared" si="2"/>
        <v>0</v>
      </c>
      <c r="M15" s="241">
        <f t="shared" si="2"/>
        <v>0</v>
      </c>
      <c r="N15" s="241">
        <f t="shared" si="2"/>
        <v>0</v>
      </c>
      <c r="O15" s="241">
        <f t="shared" si="2"/>
        <v>0</v>
      </c>
      <c r="P15" s="241">
        <f t="shared" si="2"/>
        <v>0</v>
      </c>
      <c r="Q15" s="241">
        <f t="shared" si="2"/>
        <v>0</v>
      </c>
      <c r="R15" s="241">
        <f t="shared" si="2"/>
        <v>0</v>
      </c>
      <c r="S15" s="241">
        <f t="shared" si="2"/>
        <v>0</v>
      </c>
      <c r="T15" s="241">
        <f t="shared" si="2"/>
        <v>0</v>
      </c>
      <c r="U15" s="241">
        <f t="shared" si="2"/>
        <v>0</v>
      </c>
      <c r="V15" s="241">
        <f t="shared" si="2"/>
        <v>0</v>
      </c>
      <c r="W15" s="241">
        <f t="shared" si="2"/>
        <v>0</v>
      </c>
      <c r="X15" s="241">
        <f t="shared" si="2"/>
        <v>0</v>
      </c>
      <c r="Y15" s="241">
        <f t="shared" si="2"/>
        <v>0</v>
      </c>
      <c r="Z15" s="241">
        <f t="shared" si="2"/>
        <v>0</v>
      </c>
      <c r="AA15" s="241">
        <f t="shared" si="2"/>
        <v>0</v>
      </c>
    </row>
    <row r="16" spans="2:27" x14ac:dyDescent="0.25">
      <c r="B16" s="961" t="s">
        <v>5134</v>
      </c>
      <c r="C16" s="962"/>
      <c r="D16" s="962"/>
      <c r="E16" s="962"/>
      <c r="F16" s="662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</row>
    <row r="17" spans="2:27" ht="18" x14ac:dyDescent="0.25">
      <c r="B17" s="899">
        <v>10</v>
      </c>
      <c r="C17" s="225" t="s">
        <v>4214</v>
      </c>
      <c r="D17" s="225"/>
      <c r="E17" s="231" t="s">
        <v>4208</v>
      </c>
      <c r="F17" s="232" t="s">
        <v>4235</v>
      </c>
      <c r="G17" s="237" t="str">
        <f>IF(COUNTA(H17:DC17)=0,"",IF(OR(LARGE(H17:DC17,1)&gt;3,SMALL(H17:DC17,1)&lt;0),"ERRO",""))</f>
        <v/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2:27" ht="18" x14ac:dyDescent="0.25">
      <c r="B18" s="900"/>
      <c r="C18" s="225" t="s">
        <v>4216</v>
      </c>
      <c r="D18" s="225"/>
      <c r="E18" s="226" t="s">
        <v>4217</v>
      </c>
      <c r="F18" s="232" t="s">
        <v>4236</v>
      </c>
      <c r="G18" s="237" t="str">
        <f>IF(COUNTA(H18:DC18)=0,"",IF(OR(LARGE(H18:DC18,1)&gt;22,SMALL(H18:DC18,1)&lt;0),"ERRO",""))</f>
        <v/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2:27" ht="18" x14ac:dyDescent="0.25">
      <c r="B19" s="900"/>
      <c r="C19" s="225" t="s">
        <v>4219</v>
      </c>
      <c r="D19" s="225"/>
      <c r="E19" s="226" t="s">
        <v>4220</v>
      </c>
      <c r="F19" s="232" t="s">
        <v>4237</v>
      </c>
      <c r="G19" s="237" t="str">
        <f>IF(COUNTA(H19:DC19)=0,"",IF(OR(LARGE(H19:DC19,1)&gt;12,SMALL(H19:DC19,1)&lt;0),"ERRO",""))</f>
        <v/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2:27" ht="18" x14ac:dyDescent="0.25">
      <c r="B20" s="598">
        <v>11</v>
      </c>
      <c r="C20" s="225" t="s">
        <v>5158</v>
      </c>
      <c r="D20" s="225"/>
      <c r="E20" s="231" t="s">
        <v>3857</v>
      </c>
      <c r="F20" s="232" t="s">
        <v>4238</v>
      </c>
      <c r="G20" s="233">
        <f>SUM(H20:DC20)</f>
        <v>0</v>
      </c>
      <c r="H20" s="236">
        <f>H9*((H17*H18*H19)/792)</f>
        <v>0</v>
      </c>
      <c r="I20" s="236">
        <f t="shared" ref="I20:AA20" si="3">I9*((I17*I18*I19)/792)</f>
        <v>0</v>
      </c>
      <c r="J20" s="236">
        <f t="shared" si="3"/>
        <v>0</v>
      </c>
      <c r="K20" s="236">
        <f t="shared" si="3"/>
        <v>0</v>
      </c>
      <c r="L20" s="236">
        <f t="shared" si="3"/>
        <v>0</v>
      </c>
      <c r="M20" s="236">
        <f t="shared" si="3"/>
        <v>0</v>
      </c>
      <c r="N20" s="236">
        <f t="shared" si="3"/>
        <v>0</v>
      </c>
      <c r="O20" s="236">
        <f t="shared" si="3"/>
        <v>0</v>
      </c>
      <c r="P20" s="236">
        <f t="shared" si="3"/>
        <v>0</v>
      </c>
      <c r="Q20" s="236">
        <f t="shared" si="3"/>
        <v>0</v>
      </c>
      <c r="R20" s="236">
        <f t="shared" si="3"/>
        <v>0</v>
      </c>
      <c r="S20" s="236">
        <f t="shared" si="3"/>
        <v>0</v>
      </c>
      <c r="T20" s="236">
        <f t="shared" si="3"/>
        <v>0</v>
      </c>
      <c r="U20" s="236">
        <f t="shared" si="3"/>
        <v>0</v>
      </c>
      <c r="V20" s="236">
        <f t="shared" si="3"/>
        <v>0</v>
      </c>
      <c r="W20" s="236">
        <f t="shared" si="3"/>
        <v>0</v>
      </c>
      <c r="X20" s="236">
        <f t="shared" si="3"/>
        <v>0</v>
      </c>
      <c r="Y20" s="236">
        <f t="shared" si="3"/>
        <v>0</v>
      </c>
      <c r="Z20" s="236">
        <f t="shared" si="3"/>
        <v>0</v>
      </c>
      <c r="AA20" s="236">
        <f t="shared" si="3"/>
        <v>0</v>
      </c>
    </row>
    <row r="21" spans="2:27" ht="18" x14ac:dyDescent="0.25">
      <c r="B21" s="599">
        <v>12</v>
      </c>
      <c r="C21" s="225" t="s">
        <v>4224</v>
      </c>
      <c r="D21" s="225"/>
      <c r="E21" s="231"/>
      <c r="F21" s="232" t="s">
        <v>4239</v>
      </c>
      <c r="G21" s="237" t="str">
        <f>IF(COUNTA(H21:DC21)=0,"",IF(OR(LARGE(H21:DC21,1)&gt;1,SMALL(H21:DC21,1)&lt;0),"ERRO",""))</f>
        <v/>
      </c>
      <c r="H21" s="242">
        <f t="shared" ref="H21:AA21" si="4">IF(H9=0,0,H20/H9)</f>
        <v>0</v>
      </c>
      <c r="I21" s="242">
        <f t="shared" si="4"/>
        <v>0</v>
      </c>
      <c r="J21" s="242">
        <f t="shared" si="4"/>
        <v>0</v>
      </c>
      <c r="K21" s="242">
        <f t="shared" si="4"/>
        <v>0</v>
      </c>
      <c r="L21" s="242">
        <f t="shared" si="4"/>
        <v>0</v>
      </c>
      <c r="M21" s="242">
        <f t="shared" si="4"/>
        <v>0</v>
      </c>
      <c r="N21" s="242">
        <f t="shared" si="4"/>
        <v>0</v>
      </c>
      <c r="O21" s="242">
        <f t="shared" si="4"/>
        <v>0</v>
      </c>
      <c r="P21" s="242">
        <f t="shared" si="4"/>
        <v>0</v>
      </c>
      <c r="Q21" s="242">
        <f t="shared" si="4"/>
        <v>0</v>
      </c>
      <c r="R21" s="242">
        <f t="shared" si="4"/>
        <v>0</v>
      </c>
      <c r="S21" s="242">
        <f t="shared" si="4"/>
        <v>0</v>
      </c>
      <c r="T21" s="242">
        <f t="shared" si="4"/>
        <v>0</v>
      </c>
      <c r="U21" s="242">
        <f t="shared" si="4"/>
        <v>0</v>
      </c>
      <c r="V21" s="242">
        <f t="shared" si="4"/>
        <v>0</v>
      </c>
      <c r="W21" s="242">
        <f t="shared" si="4"/>
        <v>0</v>
      </c>
      <c r="X21" s="242">
        <f t="shared" si="4"/>
        <v>0</v>
      </c>
      <c r="Y21" s="242">
        <f t="shared" si="4"/>
        <v>0</v>
      </c>
      <c r="Z21" s="242">
        <f t="shared" si="4"/>
        <v>0</v>
      </c>
      <c r="AA21" s="242">
        <f t="shared" si="4"/>
        <v>0</v>
      </c>
    </row>
    <row r="22" spans="2:27" ht="18" x14ac:dyDescent="0.25">
      <c r="B22" s="515">
        <v>13</v>
      </c>
      <c r="C22" s="225" t="s">
        <v>4228</v>
      </c>
      <c r="D22" s="225"/>
      <c r="E22" s="231" t="s">
        <v>3857</v>
      </c>
      <c r="F22" s="232" t="s">
        <v>4241</v>
      </c>
      <c r="G22" s="237"/>
      <c r="H22" s="595">
        <f>IFERROR(H20/H9,)</f>
        <v>0</v>
      </c>
      <c r="I22" s="595">
        <f t="shared" ref="I22:AA22" si="5">IFERROR(I20/I9,)</f>
        <v>0</v>
      </c>
      <c r="J22" s="595">
        <f t="shared" si="5"/>
        <v>0</v>
      </c>
      <c r="K22" s="595">
        <f t="shared" si="5"/>
        <v>0</v>
      </c>
      <c r="L22" s="595">
        <f t="shared" si="5"/>
        <v>0</v>
      </c>
      <c r="M22" s="595">
        <f t="shared" si="5"/>
        <v>0</v>
      </c>
      <c r="N22" s="595">
        <f t="shared" si="5"/>
        <v>0</v>
      </c>
      <c r="O22" s="595">
        <f t="shared" si="5"/>
        <v>0</v>
      </c>
      <c r="P22" s="595">
        <f t="shared" si="5"/>
        <v>0</v>
      </c>
      <c r="Q22" s="595">
        <f t="shared" si="5"/>
        <v>0</v>
      </c>
      <c r="R22" s="595">
        <f t="shared" si="5"/>
        <v>0</v>
      </c>
      <c r="S22" s="595">
        <f t="shared" si="5"/>
        <v>0</v>
      </c>
      <c r="T22" s="595">
        <f t="shared" si="5"/>
        <v>0</v>
      </c>
      <c r="U22" s="595">
        <f t="shared" si="5"/>
        <v>0</v>
      </c>
      <c r="V22" s="595">
        <f t="shared" si="5"/>
        <v>0</v>
      </c>
      <c r="W22" s="595">
        <f t="shared" si="5"/>
        <v>0</v>
      </c>
      <c r="X22" s="595">
        <f t="shared" si="5"/>
        <v>0</v>
      </c>
      <c r="Y22" s="595">
        <f t="shared" si="5"/>
        <v>0</v>
      </c>
      <c r="Z22" s="595">
        <f t="shared" si="5"/>
        <v>0</v>
      </c>
      <c r="AA22" s="595">
        <f t="shared" si="5"/>
        <v>0</v>
      </c>
    </row>
    <row r="23" spans="2:27" x14ac:dyDescent="0.25">
      <c r="B23" s="103"/>
      <c r="C23" s="76"/>
      <c r="D23" s="76"/>
      <c r="E23" s="219"/>
      <c r="F23" s="220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2:27" x14ac:dyDescent="0.25">
      <c r="B24" s="779" t="s">
        <v>5143</v>
      </c>
      <c r="C24" s="779"/>
      <c r="D24" s="779"/>
      <c r="E24" s="779"/>
      <c r="F24" s="779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</row>
    <row r="25" spans="2:27" x14ac:dyDescent="0.25">
      <c r="B25" s="103"/>
      <c r="C25" s="76"/>
      <c r="D25" s="76"/>
      <c r="E25" s="219"/>
      <c r="F25" s="220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2:27" ht="18" customHeight="1" x14ac:dyDescent="0.25">
      <c r="B26" s="515">
        <v>14</v>
      </c>
      <c r="C26" s="248" t="s">
        <v>5139</v>
      </c>
      <c r="D26" s="250">
        <f>'Escolha tarifa'!F17</f>
        <v>0</v>
      </c>
      <c r="E26" s="589" t="s">
        <v>3857</v>
      </c>
      <c r="F26" s="590" t="s">
        <v>4243</v>
      </c>
      <c r="G26" s="243">
        <f>SUM(H26:DC26)</f>
        <v>0</v>
      </c>
      <c r="H26" s="241">
        <f>H20</f>
        <v>0</v>
      </c>
      <c r="I26" s="241">
        <f t="shared" ref="I26:AA26" si="6">I20</f>
        <v>0</v>
      </c>
      <c r="J26" s="241">
        <f t="shared" si="6"/>
        <v>0</v>
      </c>
      <c r="K26" s="241">
        <f t="shared" si="6"/>
        <v>0</v>
      </c>
      <c r="L26" s="241">
        <f t="shared" si="6"/>
        <v>0</v>
      </c>
      <c r="M26" s="241">
        <f t="shared" si="6"/>
        <v>0</v>
      </c>
      <c r="N26" s="241">
        <f t="shared" si="6"/>
        <v>0</v>
      </c>
      <c r="O26" s="241">
        <f t="shared" si="6"/>
        <v>0</v>
      </c>
      <c r="P26" s="241">
        <f t="shared" si="6"/>
        <v>0</v>
      </c>
      <c r="Q26" s="241">
        <f t="shared" si="6"/>
        <v>0</v>
      </c>
      <c r="R26" s="241">
        <f t="shared" si="6"/>
        <v>0</v>
      </c>
      <c r="S26" s="241">
        <f t="shared" si="6"/>
        <v>0</v>
      </c>
      <c r="T26" s="241">
        <f t="shared" si="6"/>
        <v>0</v>
      </c>
      <c r="U26" s="241">
        <f t="shared" si="6"/>
        <v>0</v>
      </c>
      <c r="V26" s="241">
        <f t="shared" si="6"/>
        <v>0</v>
      </c>
      <c r="W26" s="241">
        <f t="shared" si="6"/>
        <v>0</v>
      </c>
      <c r="X26" s="241">
        <f t="shared" si="6"/>
        <v>0</v>
      </c>
      <c r="Y26" s="241">
        <f t="shared" si="6"/>
        <v>0</v>
      </c>
      <c r="Z26" s="241">
        <f t="shared" si="6"/>
        <v>0</v>
      </c>
      <c r="AA26" s="241">
        <f t="shared" si="6"/>
        <v>0</v>
      </c>
    </row>
    <row r="27" spans="2:27" ht="18" customHeight="1" x14ac:dyDescent="0.25">
      <c r="B27" s="515">
        <v>15</v>
      </c>
      <c r="C27" s="248" t="s">
        <v>5138</v>
      </c>
      <c r="D27" s="250">
        <f>'Escolha tarifa'!E17</f>
        <v>0</v>
      </c>
      <c r="E27" s="589" t="s">
        <v>3854</v>
      </c>
      <c r="F27" s="590" t="s">
        <v>4246</v>
      </c>
      <c r="G27" s="243">
        <f>SUM(H27:DC27)</f>
        <v>0</v>
      </c>
      <c r="H27" s="593">
        <f t="shared" ref="H27:AA27" si="7">H15</f>
        <v>0</v>
      </c>
      <c r="I27" s="593">
        <f t="shared" si="7"/>
        <v>0</v>
      </c>
      <c r="J27" s="593">
        <f t="shared" si="7"/>
        <v>0</v>
      </c>
      <c r="K27" s="593">
        <f t="shared" si="7"/>
        <v>0</v>
      </c>
      <c r="L27" s="593">
        <f t="shared" si="7"/>
        <v>0</v>
      </c>
      <c r="M27" s="593">
        <f t="shared" si="7"/>
        <v>0</v>
      </c>
      <c r="N27" s="593">
        <f t="shared" si="7"/>
        <v>0</v>
      </c>
      <c r="O27" s="593">
        <f t="shared" si="7"/>
        <v>0</v>
      </c>
      <c r="P27" s="593">
        <f t="shared" si="7"/>
        <v>0</v>
      </c>
      <c r="Q27" s="593">
        <f t="shared" si="7"/>
        <v>0</v>
      </c>
      <c r="R27" s="593">
        <f t="shared" si="7"/>
        <v>0</v>
      </c>
      <c r="S27" s="593">
        <f t="shared" si="7"/>
        <v>0</v>
      </c>
      <c r="T27" s="593">
        <f t="shared" si="7"/>
        <v>0</v>
      </c>
      <c r="U27" s="593">
        <f t="shared" si="7"/>
        <v>0</v>
      </c>
      <c r="V27" s="593">
        <f t="shared" si="7"/>
        <v>0</v>
      </c>
      <c r="W27" s="593">
        <f t="shared" si="7"/>
        <v>0</v>
      </c>
      <c r="X27" s="593">
        <f t="shared" si="7"/>
        <v>0</v>
      </c>
      <c r="Y27" s="593">
        <f t="shared" si="7"/>
        <v>0</v>
      </c>
      <c r="Z27" s="593">
        <f t="shared" si="7"/>
        <v>0</v>
      </c>
      <c r="AA27" s="593">
        <f t="shared" si="7"/>
        <v>0</v>
      </c>
    </row>
    <row r="28" spans="2:27" ht="18" x14ac:dyDescent="0.25">
      <c r="B28" s="253"/>
      <c r="C28" s="254" t="s">
        <v>5140</v>
      </c>
      <c r="D28" s="254"/>
      <c r="E28" s="542" t="s">
        <v>3911</v>
      </c>
      <c r="F28" s="255" t="s">
        <v>5144</v>
      </c>
      <c r="G28" s="256">
        <f>SUM(H28:DC28)</f>
        <v>0</v>
      </c>
      <c r="H28" s="257">
        <f>H26*$D$26+H27*$D$27</f>
        <v>0</v>
      </c>
      <c r="I28" s="257">
        <f t="shared" ref="I28:AA28" si="8">I26*$D$26+I27*$D$27</f>
        <v>0</v>
      </c>
      <c r="J28" s="257">
        <f t="shared" si="8"/>
        <v>0</v>
      </c>
      <c r="K28" s="257">
        <f t="shared" si="8"/>
        <v>0</v>
      </c>
      <c r="L28" s="257">
        <f t="shared" si="8"/>
        <v>0</v>
      </c>
      <c r="M28" s="257">
        <f t="shared" si="8"/>
        <v>0</v>
      </c>
      <c r="N28" s="257">
        <f t="shared" si="8"/>
        <v>0</v>
      </c>
      <c r="O28" s="257">
        <f t="shared" si="8"/>
        <v>0</v>
      </c>
      <c r="P28" s="257">
        <f t="shared" si="8"/>
        <v>0</v>
      </c>
      <c r="Q28" s="257">
        <f t="shared" si="8"/>
        <v>0</v>
      </c>
      <c r="R28" s="257">
        <f t="shared" si="8"/>
        <v>0</v>
      </c>
      <c r="S28" s="257">
        <f t="shared" si="8"/>
        <v>0</v>
      </c>
      <c r="T28" s="257">
        <f t="shared" si="8"/>
        <v>0</v>
      </c>
      <c r="U28" s="257">
        <f t="shared" si="8"/>
        <v>0</v>
      </c>
      <c r="V28" s="257">
        <f t="shared" si="8"/>
        <v>0</v>
      </c>
      <c r="W28" s="257">
        <f t="shared" si="8"/>
        <v>0</v>
      </c>
      <c r="X28" s="257">
        <f t="shared" si="8"/>
        <v>0</v>
      </c>
      <c r="Y28" s="257">
        <f t="shared" si="8"/>
        <v>0</v>
      </c>
      <c r="Z28" s="257">
        <f t="shared" si="8"/>
        <v>0</v>
      </c>
      <c r="AA28" s="257">
        <f t="shared" si="8"/>
        <v>0</v>
      </c>
    </row>
    <row r="29" spans="2:27" ht="18" x14ac:dyDescent="0.25">
      <c r="B29" s="253"/>
      <c r="C29" s="254" t="s">
        <v>5141</v>
      </c>
      <c r="D29" s="254"/>
      <c r="E29" s="542" t="s">
        <v>3911</v>
      </c>
      <c r="F29" s="255" t="s">
        <v>5145</v>
      </c>
      <c r="G29" s="256">
        <f>G27*D27</f>
        <v>0</v>
      </c>
      <c r="H29" s="257">
        <f t="shared" ref="H29:AA29" si="9">H27*$D$27</f>
        <v>0</v>
      </c>
      <c r="I29" s="257">
        <f t="shared" si="9"/>
        <v>0</v>
      </c>
      <c r="J29" s="257">
        <f t="shared" si="9"/>
        <v>0</v>
      </c>
      <c r="K29" s="257">
        <f t="shared" si="9"/>
        <v>0</v>
      </c>
      <c r="L29" s="257">
        <f t="shared" si="9"/>
        <v>0</v>
      </c>
      <c r="M29" s="257">
        <f t="shared" si="9"/>
        <v>0</v>
      </c>
      <c r="N29" s="257">
        <f t="shared" si="9"/>
        <v>0</v>
      </c>
      <c r="O29" s="257">
        <f t="shared" si="9"/>
        <v>0</v>
      </c>
      <c r="P29" s="257">
        <f t="shared" si="9"/>
        <v>0</v>
      </c>
      <c r="Q29" s="257">
        <f t="shared" si="9"/>
        <v>0</v>
      </c>
      <c r="R29" s="257">
        <f t="shared" si="9"/>
        <v>0</v>
      </c>
      <c r="S29" s="257">
        <f t="shared" si="9"/>
        <v>0</v>
      </c>
      <c r="T29" s="257">
        <f t="shared" si="9"/>
        <v>0</v>
      </c>
      <c r="U29" s="257">
        <f t="shared" si="9"/>
        <v>0</v>
      </c>
      <c r="V29" s="257">
        <f t="shared" si="9"/>
        <v>0</v>
      </c>
      <c r="W29" s="257">
        <f t="shared" si="9"/>
        <v>0</v>
      </c>
      <c r="X29" s="257">
        <f t="shared" si="9"/>
        <v>0</v>
      </c>
      <c r="Y29" s="257">
        <f t="shared" si="9"/>
        <v>0</v>
      </c>
      <c r="Z29" s="257">
        <f t="shared" si="9"/>
        <v>0</v>
      </c>
      <c r="AA29" s="257">
        <f t="shared" si="9"/>
        <v>0</v>
      </c>
    </row>
    <row r="30" spans="2:27" ht="18" x14ac:dyDescent="0.25">
      <c r="B30" s="253"/>
      <c r="C30" s="254" t="s">
        <v>5142</v>
      </c>
      <c r="D30" s="254"/>
      <c r="E30" s="542" t="s">
        <v>3911</v>
      </c>
      <c r="F30" s="255" t="s">
        <v>5146</v>
      </c>
      <c r="G30" s="256">
        <f>G26*D26</f>
        <v>0</v>
      </c>
      <c r="H30" s="257">
        <f t="shared" ref="H30:AA30" si="10">H26*$D$26</f>
        <v>0</v>
      </c>
      <c r="I30" s="257">
        <f t="shared" si="10"/>
        <v>0</v>
      </c>
      <c r="J30" s="257">
        <f t="shared" si="10"/>
        <v>0</v>
      </c>
      <c r="K30" s="257">
        <f t="shared" si="10"/>
        <v>0</v>
      </c>
      <c r="L30" s="257">
        <f t="shared" si="10"/>
        <v>0</v>
      </c>
      <c r="M30" s="257">
        <f t="shared" si="10"/>
        <v>0</v>
      </c>
      <c r="N30" s="257">
        <f t="shared" si="10"/>
        <v>0</v>
      </c>
      <c r="O30" s="257">
        <f t="shared" si="10"/>
        <v>0</v>
      </c>
      <c r="P30" s="257">
        <f t="shared" si="10"/>
        <v>0</v>
      </c>
      <c r="Q30" s="257">
        <f t="shared" si="10"/>
        <v>0</v>
      </c>
      <c r="R30" s="257">
        <f t="shared" si="10"/>
        <v>0</v>
      </c>
      <c r="S30" s="257">
        <f t="shared" si="10"/>
        <v>0</v>
      </c>
      <c r="T30" s="257">
        <f t="shared" si="10"/>
        <v>0</v>
      </c>
      <c r="U30" s="257">
        <f t="shared" si="10"/>
        <v>0</v>
      </c>
      <c r="V30" s="257">
        <f t="shared" si="10"/>
        <v>0</v>
      </c>
      <c r="W30" s="257">
        <f t="shared" si="10"/>
        <v>0</v>
      </c>
      <c r="X30" s="257">
        <f t="shared" si="10"/>
        <v>0</v>
      </c>
      <c r="Y30" s="257">
        <f t="shared" si="10"/>
        <v>0</v>
      </c>
      <c r="Z30" s="257">
        <f t="shared" si="10"/>
        <v>0</v>
      </c>
      <c r="AA30" s="257">
        <f t="shared" si="10"/>
        <v>0</v>
      </c>
    </row>
    <row r="33" spans="8:10" ht="15" customHeight="1" x14ac:dyDescent="0.25">
      <c r="H33" s="626"/>
      <c r="I33" s="626"/>
      <c r="J33" s="626"/>
    </row>
    <row r="34" spans="8:10" ht="15" customHeight="1" x14ac:dyDescent="0.25">
      <c r="H34" s="626"/>
      <c r="I34" s="626"/>
      <c r="J34" s="626"/>
    </row>
    <row r="35" spans="8:10" ht="15" customHeight="1" x14ac:dyDescent="0.25">
      <c r="H35" s="626"/>
      <c r="I35" s="626"/>
      <c r="J35" s="626"/>
    </row>
    <row r="36" spans="8:10" ht="15" customHeight="1" x14ac:dyDescent="0.25">
      <c r="H36" s="626"/>
      <c r="I36" s="626"/>
      <c r="J36" s="626"/>
    </row>
    <row r="37" spans="8:10" ht="15" customHeight="1" x14ac:dyDescent="0.25">
      <c r="H37" s="626"/>
      <c r="I37" s="626"/>
      <c r="J37" s="626"/>
    </row>
    <row r="38" spans="8:10" ht="15" customHeight="1" x14ac:dyDescent="0.25">
      <c r="H38" s="626"/>
      <c r="I38" s="626"/>
      <c r="J38" s="626"/>
    </row>
    <row r="39" spans="8:10" ht="15" customHeight="1" x14ac:dyDescent="0.25">
      <c r="H39" s="626"/>
      <c r="I39" s="626"/>
      <c r="J39" s="626"/>
    </row>
    <row r="40" spans="8:10" ht="15" customHeight="1" x14ac:dyDescent="0.25">
      <c r="H40" s="626"/>
      <c r="I40" s="626"/>
      <c r="J40" s="626"/>
    </row>
    <row r="41" spans="8:10" ht="15" customHeight="1" x14ac:dyDescent="0.25">
      <c r="H41" s="626"/>
      <c r="I41" s="626"/>
      <c r="J41" s="626"/>
    </row>
  </sheetData>
  <sheetProtection algorithmName="SHA-512" hashValue="21Cr9evl9ApDz1qqCatez22k1Cz75IQi462O34mhTrVAaByypLKscTYZj7XxuYQ9EvkrQW6KriJyX+fRAgro0Q==" saltValue="3TLz9OFRetbNvq6uUCEM/w==" spinCount="100000" sheet="1" objects="1" scenarios="1"/>
  <mergeCells count="6">
    <mergeCell ref="B2:F2"/>
    <mergeCell ref="B17:B19"/>
    <mergeCell ref="B11:B13"/>
    <mergeCell ref="B24:F24"/>
    <mergeCell ref="B10:F10"/>
    <mergeCell ref="B16:F16"/>
  </mergeCells>
  <conditionalFormatting sqref="G5:G9 G11:G15 G17:G22 G26:G30">
    <cfRule type="expression" dxfId="9" priority="11">
      <formula>G5="AVISO-Oversizing  inversor"</formula>
    </cfRule>
  </conditionalFormatting>
  <conditionalFormatting sqref="H13:AA13">
    <cfRule type="expression" dxfId="8" priority="5">
      <formula>OR(H13&gt;365,H13&lt;0)</formula>
    </cfRule>
  </conditionalFormatting>
  <conditionalFormatting sqref="H14:AA14">
    <cfRule type="expression" dxfId="7" priority="10">
      <formula>OR(H14&gt;8760,H14&lt;0)</formula>
    </cfRule>
  </conditionalFormatting>
  <conditionalFormatting sqref="H17:AA17">
    <cfRule type="expression" dxfId="6" priority="9">
      <formula>OR(H17&gt;3,H17&lt;0)</formula>
    </cfRule>
  </conditionalFormatting>
  <conditionalFormatting sqref="H18:AA18">
    <cfRule type="expression" dxfId="5" priority="8">
      <formula>OR(H18&gt;22,H18&lt;0)</formula>
    </cfRule>
  </conditionalFormatting>
  <conditionalFormatting sqref="H19:AA19">
    <cfRule type="expression" dxfId="4" priority="7">
      <formula>OR(H19&gt;12,H19&lt;0)</formula>
    </cfRule>
  </conditionalFormatting>
  <conditionalFormatting sqref="H21:AA21">
    <cfRule type="expression" dxfId="3" priority="12">
      <formula>OR(H21&gt;1,H21&lt;0)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2A0D0-8A2E-48E3-8481-770E8CF23A41}">
          <x14:formula1>
            <xm:f>'Referencias UC'!$A$2:$A$21</xm:f>
          </x14:formula1>
          <xm:sqref>H4:AA4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1"/>
  <dimension ref="A1"/>
  <sheetViews>
    <sheetView zoomScale="130" zoomScaleNormal="130" workbookViewId="0">
      <selection activeCell="M16" sqref="M16"/>
    </sheetView>
  </sheetViews>
  <sheetFormatPr defaultColWidth="9.140625" defaultRowHeight="15" x14ac:dyDescent="0.25"/>
  <cols>
    <col min="1" max="16384" width="9.140625" style="52"/>
  </cols>
  <sheetData/>
  <sheetProtection algorithmName="SHA-512" hashValue="IjTo2fJM8HYv4LYclBYcvGSaBcfZBgitxGL2d0IaK4Qj2803xeueL92CAUZq1WHX2S57dbFctMy9mqalbjTq/Q==" saltValue="VgKfg4CucO2JLclPPiSQE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7">
    <tabColor theme="9" tint="0.59999389629810485"/>
  </sheetPr>
  <dimension ref="A1:R159"/>
  <sheetViews>
    <sheetView zoomScale="115" zoomScaleNormal="115" workbookViewId="0">
      <selection activeCell="C25" sqref="C25"/>
    </sheetView>
  </sheetViews>
  <sheetFormatPr defaultColWidth="0" defaultRowHeight="0" customHeight="1" zeroHeight="1" x14ac:dyDescent="0.25"/>
  <cols>
    <col min="1" max="1" width="2.5703125" style="52" customWidth="1"/>
    <col min="2" max="2" width="4.42578125" style="52" customWidth="1"/>
    <col min="3" max="3" width="54.28515625" style="52" bestFit="1" customWidth="1"/>
    <col min="4" max="6" width="11.28515625" style="52" customWidth="1"/>
    <col min="7" max="7" width="15.42578125" style="52" customWidth="1"/>
    <col min="8" max="12" width="11.28515625" style="52" customWidth="1"/>
    <col min="13" max="13" width="15.42578125" style="52" customWidth="1"/>
    <col min="14" max="14" width="12" style="52" bestFit="1" customWidth="1"/>
    <col min="15" max="15" width="11.28515625" style="52" customWidth="1"/>
    <col min="16" max="16" width="15.42578125" style="52" customWidth="1"/>
    <col min="17" max="17" width="16.85546875" style="52" customWidth="1"/>
    <col min="18" max="18" width="9.140625" style="52" customWidth="1"/>
    <col min="19" max="16384" width="9.140625" style="52" hidden="1"/>
  </cols>
  <sheetData>
    <row r="1" spans="2:17" ht="15" x14ac:dyDescent="0.25"/>
    <row r="2" spans="2:17" ht="20.25" customHeight="1" x14ac:dyDescent="0.25">
      <c r="B2" s="966" t="s">
        <v>4979</v>
      </c>
      <c r="C2" s="967"/>
      <c r="D2" s="967"/>
      <c r="E2" s="967"/>
      <c r="F2" s="968"/>
      <c r="G2" s="76"/>
      <c r="H2" s="76"/>
      <c r="I2" s="76"/>
      <c r="J2" s="76"/>
      <c r="K2" s="76"/>
      <c r="O2" s="406"/>
    </row>
    <row r="3" spans="2:17" ht="20.25" customHeight="1" x14ac:dyDescent="0.25">
      <c r="B3" s="969"/>
      <c r="C3" s="970"/>
      <c r="D3" s="970"/>
      <c r="E3" s="970"/>
      <c r="F3" s="971"/>
      <c r="G3" s="76"/>
      <c r="H3" s="76"/>
      <c r="I3" s="76"/>
      <c r="J3" s="76"/>
      <c r="K3" s="76"/>
      <c r="O3" s="406"/>
    </row>
    <row r="4" spans="2:17" ht="7.5" customHeight="1" x14ac:dyDescent="0.25"/>
    <row r="5" spans="2:17" ht="15" x14ac:dyDescent="0.25">
      <c r="B5" s="779" t="s">
        <v>4980</v>
      </c>
      <c r="C5" s="779"/>
      <c r="D5" s="649" t="s">
        <v>4981</v>
      </c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952" t="s">
        <v>4982</v>
      </c>
    </row>
    <row r="6" spans="2:17" ht="15" x14ac:dyDescent="0.25">
      <c r="B6" s="779"/>
      <c r="C6" s="779"/>
      <c r="D6" s="525" t="s">
        <v>4983</v>
      </c>
      <c r="E6" s="525" t="s">
        <v>4984</v>
      </c>
      <c r="F6" s="525" t="s">
        <v>4985</v>
      </c>
      <c r="G6" s="525" t="s">
        <v>4986</v>
      </c>
      <c r="H6" s="525" t="s">
        <v>4987</v>
      </c>
      <c r="I6" s="525" t="s">
        <v>4988</v>
      </c>
      <c r="J6" s="525" t="s">
        <v>4989</v>
      </c>
      <c r="K6" s="525" t="s">
        <v>4990</v>
      </c>
      <c r="L6" s="525" t="s">
        <v>4991</v>
      </c>
      <c r="M6" s="525" t="s">
        <v>3811</v>
      </c>
      <c r="N6" s="525" t="s">
        <v>4992</v>
      </c>
      <c r="O6" s="525" t="s">
        <v>4993</v>
      </c>
      <c r="P6" s="525" t="s">
        <v>4994</v>
      </c>
      <c r="Q6" s="779"/>
    </row>
    <row r="7" spans="2:17" ht="18" customHeight="1" x14ac:dyDescent="0.25">
      <c r="B7" s="224">
        <v>1</v>
      </c>
      <c r="C7" s="358" t="s">
        <v>4995</v>
      </c>
      <c r="D7" s="408"/>
      <c r="E7" s="408"/>
      <c r="F7" s="408"/>
      <c r="G7" s="408"/>
      <c r="H7" s="408"/>
      <c r="I7" s="408"/>
      <c r="J7" s="408"/>
      <c r="K7" s="408"/>
      <c r="L7" s="408"/>
      <c r="M7" s="357">
        <f>SUM(IlumCusto!K31,'FI-FVCusto'!K31,MotorCusto!K31,SolarCusto!K31,CondAmbCusto!K31,RefrigCusto!K31,OutrosCusto!K31)</f>
        <v>0</v>
      </c>
      <c r="N7" s="155"/>
      <c r="O7" s="408"/>
      <c r="P7" s="408"/>
      <c r="Q7" s="392">
        <f>SUM((D7:M7))</f>
        <v>0</v>
      </c>
    </row>
    <row r="8" spans="2:17" ht="18" customHeight="1" x14ac:dyDescent="0.25">
      <c r="B8" s="224">
        <v>2</v>
      </c>
      <c r="C8" s="389" t="s">
        <v>4996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1"/>
      <c r="O8" s="389"/>
      <c r="P8" s="390"/>
      <c r="Q8" s="391"/>
    </row>
    <row r="9" spans="2:17" ht="18" customHeight="1" x14ac:dyDescent="0.25">
      <c r="B9" s="359" t="s">
        <v>4997</v>
      </c>
      <c r="C9" s="360" t="s">
        <v>21</v>
      </c>
      <c r="D9" s="408"/>
      <c r="E9" s="408"/>
      <c r="F9" s="408"/>
      <c r="G9" s="357">
        <f>IlumCusto!K27</f>
        <v>0</v>
      </c>
      <c r="H9" s="408"/>
      <c r="I9" s="408"/>
      <c r="J9" s="408"/>
      <c r="K9" s="408"/>
      <c r="L9" s="408"/>
      <c r="M9" s="408"/>
      <c r="N9" s="408"/>
      <c r="O9" s="408"/>
      <c r="P9" s="408"/>
      <c r="Q9" s="392">
        <f>SUM((D9:G9))</f>
        <v>0</v>
      </c>
    </row>
    <row r="10" spans="2:17" ht="18" customHeight="1" x14ac:dyDescent="0.25">
      <c r="B10" s="359" t="s">
        <v>4998</v>
      </c>
      <c r="C10" s="360" t="s">
        <v>4999</v>
      </c>
      <c r="D10" s="408"/>
      <c r="E10" s="408"/>
      <c r="F10" s="408"/>
      <c r="G10" s="357">
        <f>'FI-FVCusto'!K27</f>
        <v>0</v>
      </c>
      <c r="H10" s="408"/>
      <c r="I10" s="408"/>
      <c r="J10" s="408"/>
      <c r="K10" s="408"/>
      <c r="L10" s="408"/>
      <c r="M10" s="408"/>
      <c r="N10" s="408"/>
      <c r="O10" s="408"/>
      <c r="P10" s="408"/>
      <c r="Q10" s="392">
        <f t="shared" ref="Q10:Q16" si="0">SUM((D10:G10))</f>
        <v>0</v>
      </c>
    </row>
    <row r="11" spans="2:17" ht="18" customHeight="1" x14ac:dyDescent="0.25">
      <c r="B11" s="359" t="s">
        <v>5000</v>
      </c>
      <c r="C11" s="360" t="s">
        <v>5001</v>
      </c>
      <c r="D11" s="408"/>
      <c r="E11" s="408"/>
      <c r="F11" s="408"/>
      <c r="G11" s="357">
        <f>MotorCusto!K27</f>
        <v>0</v>
      </c>
      <c r="H11" s="408"/>
      <c r="I11" s="408"/>
      <c r="J11" s="408"/>
      <c r="K11" s="408"/>
      <c r="L11" s="408"/>
      <c r="M11" s="408"/>
      <c r="N11" s="408"/>
      <c r="O11" s="408"/>
      <c r="P11" s="408"/>
      <c r="Q11" s="392">
        <f t="shared" si="0"/>
        <v>0</v>
      </c>
    </row>
    <row r="12" spans="2:17" ht="18" customHeight="1" x14ac:dyDescent="0.25">
      <c r="B12" s="359" t="s">
        <v>5002</v>
      </c>
      <c r="C12" s="360" t="s">
        <v>5003</v>
      </c>
      <c r="D12" s="408"/>
      <c r="E12" s="408"/>
      <c r="F12" s="408"/>
      <c r="G12" s="357">
        <f>SolarCusto!K27</f>
        <v>0</v>
      </c>
      <c r="H12" s="408"/>
      <c r="I12" s="408"/>
      <c r="J12" s="408"/>
      <c r="K12" s="408"/>
      <c r="L12" s="408"/>
      <c r="M12" s="408"/>
      <c r="N12" s="408"/>
      <c r="O12" s="408"/>
      <c r="P12" s="408"/>
      <c r="Q12" s="392">
        <f>SUM((D12:G12))</f>
        <v>0</v>
      </c>
    </row>
    <row r="13" spans="2:17" ht="18" customHeight="1" x14ac:dyDescent="0.25">
      <c r="B13" s="359" t="s">
        <v>5004</v>
      </c>
      <c r="C13" s="360" t="s">
        <v>5005</v>
      </c>
      <c r="D13" s="408"/>
      <c r="E13" s="408"/>
      <c r="F13" s="408"/>
      <c r="G13" s="357">
        <f>CondAmbCusto!K27</f>
        <v>0</v>
      </c>
      <c r="H13" s="408"/>
      <c r="I13" s="408"/>
      <c r="J13" s="408"/>
      <c r="K13" s="408"/>
      <c r="L13" s="408"/>
      <c r="M13" s="408"/>
      <c r="N13" s="408"/>
      <c r="O13" s="408"/>
      <c r="P13" s="408"/>
      <c r="Q13" s="392">
        <f t="shared" si="0"/>
        <v>0</v>
      </c>
    </row>
    <row r="14" spans="2:17" ht="18" customHeight="1" x14ac:dyDescent="0.25">
      <c r="B14" s="359" t="s">
        <v>5004</v>
      </c>
      <c r="C14" s="360" t="s">
        <v>5006</v>
      </c>
      <c r="D14" s="408"/>
      <c r="E14" s="408"/>
      <c r="F14" s="408"/>
      <c r="G14" s="357">
        <f>RefrigCusto!K27</f>
        <v>0</v>
      </c>
      <c r="H14" s="408"/>
      <c r="I14" s="408"/>
      <c r="J14" s="408"/>
      <c r="K14" s="408"/>
      <c r="L14" s="408"/>
      <c r="M14" s="408"/>
      <c r="N14" s="408"/>
      <c r="O14" s="408"/>
      <c r="P14" s="408"/>
      <c r="Q14" s="392">
        <f t="shared" si="0"/>
        <v>0</v>
      </c>
    </row>
    <row r="15" spans="2:17" ht="18" customHeight="1" x14ac:dyDescent="0.25">
      <c r="B15" s="359" t="s">
        <v>5007</v>
      </c>
      <c r="C15" s="360" t="s">
        <v>71</v>
      </c>
      <c r="D15" s="408"/>
      <c r="E15" s="408"/>
      <c r="F15" s="408"/>
      <c r="G15" s="357">
        <f>OutrosCusto!K27</f>
        <v>0</v>
      </c>
      <c r="H15" s="408"/>
      <c r="I15" s="408"/>
      <c r="J15" s="408"/>
      <c r="K15" s="408"/>
      <c r="L15" s="408"/>
      <c r="M15" s="408"/>
      <c r="N15" s="408"/>
      <c r="O15" s="408"/>
      <c r="P15" s="408"/>
      <c r="Q15" s="392"/>
    </row>
    <row r="16" spans="2:17" ht="18" customHeight="1" x14ac:dyDescent="0.25">
      <c r="B16" s="359" t="s">
        <v>5871</v>
      </c>
      <c r="C16" s="360" t="s">
        <v>5133</v>
      </c>
      <c r="D16" s="408"/>
      <c r="E16" s="408"/>
      <c r="F16" s="408"/>
      <c r="G16" s="357">
        <f>BessCusto!K27</f>
        <v>0</v>
      </c>
      <c r="H16" s="408"/>
      <c r="I16" s="408"/>
      <c r="J16" s="408"/>
      <c r="K16" s="408"/>
      <c r="L16" s="408"/>
      <c r="M16" s="408"/>
      <c r="N16" s="408"/>
      <c r="O16" s="408"/>
      <c r="P16" s="408"/>
      <c r="Q16" s="392">
        <f t="shared" si="0"/>
        <v>0</v>
      </c>
    </row>
    <row r="17" spans="2:17" ht="18" customHeight="1" x14ac:dyDescent="0.25">
      <c r="B17" s="224">
        <v>3</v>
      </c>
      <c r="C17" s="975" t="s">
        <v>5008</v>
      </c>
      <c r="D17" s="976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89"/>
      <c r="P17" s="390"/>
      <c r="Q17" s="391"/>
    </row>
    <row r="18" spans="2:17" ht="18" customHeight="1" x14ac:dyDescent="0.25">
      <c r="B18" s="359" t="s">
        <v>5009</v>
      </c>
      <c r="C18" s="360" t="s">
        <v>21</v>
      </c>
      <c r="D18" s="408"/>
      <c r="E18" s="408"/>
      <c r="F18" s="408"/>
      <c r="G18" s="408"/>
      <c r="H18" s="408"/>
      <c r="I18" s="408"/>
      <c r="J18" s="408"/>
      <c r="K18" s="408"/>
      <c r="L18" s="408"/>
      <c r="M18" s="357">
        <f>IlumCusto!K32+SUM(IlumCusto!K34:K37)</f>
        <v>0</v>
      </c>
      <c r="N18" s="155"/>
      <c r="O18" s="408"/>
      <c r="P18" s="408"/>
      <c r="Q18" s="392">
        <f>SUM((D18:M18))</f>
        <v>0</v>
      </c>
    </row>
    <row r="19" spans="2:17" ht="18" customHeight="1" x14ac:dyDescent="0.25">
      <c r="B19" s="359" t="s">
        <v>5010</v>
      </c>
      <c r="C19" s="360" t="s">
        <v>4999</v>
      </c>
      <c r="D19" s="408"/>
      <c r="E19" s="408"/>
      <c r="F19" s="408"/>
      <c r="G19" s="408"/>
      <c r="H19" s="408"/>
      <c r="I19" s="408"/>
      <c r="J19" s="408"/>
      <c r="K19" s="408"/>
      <c r="L19" s="408"/>
      <c r="M19" s="357">
        <f>'FI-FVCusto'!K32+SUM('FI-FVCusto'!K34:K37)</f>
        <v>0</v>
      </c>
      <c r="N19" s="155"/>
      <c r="O19" s="408"/>
      <c r="P19" s="408"/>
      <c r="Q19" s="392">
        <f t="shared" ref="Q19:Q29" si="1">SUM((D19:M19))</f>
        <v>0</v>
      </c>
    </row>
    <row r="20" spans="2:17" ht="18" customHeight="1" x14ac:dyDescent="0.25">
      <c r="B20" s="359" t="s">
        <v>5011</v>
      </c>
      <c r="C20" s="360" t="s">
        <v>5001</v>
      </c>
      <c r="D20" s="408"/>
      <c r="E20" s="408"/>
      <c r="F20" s="408"/>
      <c r="G20" s="408"/>
      <c r="H20" s="408"/>
      <c r="I20" s="408"/>
      <c r="J20" s="408"/>
      <c r="K20" s="408"/>
      <c r="L20" s="408"/>
      <c r="M20" s="357">
        <f>MotorCusto!K32+SUM(MotorCusto!K34:K37)</f>
        <v>0</v>
      </c>
      <c r="N20" s="155"/>
      <c r="O20" s="408"/>
      <c r="P20" s="408"/>
      <c r="Q20" s="392">
        <f t="shared" si="1"/>
        <v>0</v>
      </c>
    </row>
    <row r="21" spans="2:17" ht="18" customHeight="1" x14ac:dyDescent="0.25">
      <c r="B21" s="359" t="s">
        <v>5012</v>
      </c>
      <c r="C21" s="360" t="s">
        <v>5003</v>
      </c>
      <c r="D21" s="408"/>
      <c r="E21" s="408"/>
      <c r="F21" s="408"/>
      <c r="G21" s="408"/>
      <c r="H21" s="408"/>
      <c r="I21" s="408"/>
      <c r="J21" s="408"/>
      <c r="K21" s="408"/>
      <c r="L21" s="408"/>
      <c r="M21" s="357">
        <f>SolarCusto!K32+SUM(SolarCusto!K34:K37)</f>
        <v>0</v>
      </c>
      <c r="N21" s="155"/>
      <c r="O21" s="408"/>
      <c r="P21" s="408"/>
      <c r="Q21" s="392">
        <f t="shared" si="1"/>
        <v>0</v>
      </c>
    </row>
    <row r="22" spans="2:17" ht="18" customHeight="1" x14ac:dyDescent="0.25">
      <c r="B22" s="359" t="s">
        <v>5013</v>
      </c>
      <c r="C22" s="360" t="s">
        <v>5005</v>
      </c>
      <c r="D22" s="408"/>
      <c r="E22" s="408"/>
      <c r="F22" s="408"/>
      <c r="G22" s="408"/>
      <c r="H22" s="408"/>
      <c r="I22" s="408"/>
      <c r="J22" s="408"/>
      <c r="K22" s="408"/>
      <c r="L22" s="408"/>
      <c r="M22" s="357">
        <f>CondAmbCusto!K32+SUM(CondAmbCusto!K34:K37)</f>
        <v>0</v>
      </c>
      <c r="N22" s="155"/>
      <c r="O22" s="408"/>
      <c r="P22" s="408"/>
      <c r="Q22" s="392">
        <f t="shared" si="1"/>
        <v>0</v>
      </c>
    </row>
    <row r="23" spans="2:17" ht="18" customHeight="1" x14ac:dyDescent="0.25">
      <c r="B23" s="359" t="s">
        <v>5013</v>
      </c>
      <c r="C23" s="360" t="s">
        <v>5006</v>
      </c>
      <c r="D23" s="408"/>
      <c r="E23" s="408"/>
      <c r="F23" s="408"/>
      <c r="G23" s="408"/>
      <c r="H23" s="408"/>
      <c r="I23" s="408"/>
      <c r="J23" s="408"/>
      <c r="K23" s="408"/>
      <c r="L23" s="408"/>
      <c r="M23" s="357">
        <f>RefrigCusto!K32+(SUM(RefrigCusto!K34:K37))</f>
        <v>0</v>
      </c>
      <c r="N23" s="155"/>
      <c r="O23" s="408"/>
      <c r="P23" s="408"/>
      <c r="Q23" s="392">
        <f t="shared" si="1"/>
        <v>0</v>
      </c>
    </row>
    <row r="24" spans="2:17" ht="18" customHeight="1" x14ac:dyDescent="0.25">
      <c r="B24" s="359" t="s">
        <v>5014</v>
      </c>
      <c r="C24" s="360" t="s">
        <v>71</v>
      </c>
      <c r="D24" s="408"/>
      <c r="E24" s="408"/>
      <c r="F24" s="408"/>
      <c r="G24" s="408"/>
      <c r="H24" s="408"/>
      <c r="I24" s="408"/>
      <c r="J24" s="408"/>
      <c r="K24" s="408"/>
      <c r="L24" s="408"/>
      <c r="M24" s="357">
        <f>OutrosCusto!K32+(SUM(OutrosCusto!K34:K37))</f>
        <v>0</v>
      </c>
      <c r="N24" s="155"/>
      <c r="O24" s="408"/>
      <c r="P24" s="408"/>
      <c r="Q24" s="392">
        <f t="shared" si="1"/>
        <v>0</v>
      </c>
    </row>
    <row r="25" spans="2:17" ht="18" customHeight="1" x14ac:dyDescent="0.25">
      <c r="B25" s="359" t="s">
        <v>5872</v>
      </c>
      <c r="C25" s="360" t="s">
        <v>5133</v>
      </c>
      <c r="D25" s="408"/>
      <c r="E25" s="408"/>
      <c r="F25" s="408"/>
      <c r="G25" s="408"/>
      <c r="H25" s="408"/>
      <c r="I25" s="408"/>
      <c r="J25" s="408"/>
      <c r="K25" s="408"/>
      <c r="L25" s="408"/>
      <c r="M25" s="357">
        <f>BESSBenef!K33+(SUM(BESSBenef!K35:K38))</f>
        <v>0</v>
      </c>
      <c r="N25" s="155"/>
      <c r="O25" s="408"/>
      <c r="P25" s="408"/>
      <c r="Q25" s="392"/>
    </row>
    <row r="26" spans="2:17" ht="18" customHeight="1" x14ac:dyDescent="0.25">
      <c r="B26" s="224">
        <v>4</v>
      </c>
      <c r="C26" s="358" t="s">
        <v>5015</v>
      </c>
      <c r="D26" s="408"/>
      <c r="E26" s="408"/>
      <c r="F26" s="408"/>
      <c r="G26" s="408"/>
      <c r="H26" s="408"/>
      <c r="I26" s="408"/>
      <c r="J26" s="408"/>
      <c r="K26" s="408"/>
      <c r="L26" s="408"/>
      <c r="M26" s="357">
        <f>CustoContabil!E15</f>
        <v>0</v>
      </c>
      <c r="N26" s="155"/>
      <c r="O26" s="408"/>
      <c r="P26" s="408"/>
      <c r="Q26" s="392">
        <f t="shared" si="1"/>
        <v>0</v>
      </c>
    </row>
    <row r="27" spans="2:17" ht="18" customHeight="1" x14ac:dyDescent="0.25">
      <c r="B27" s="224">
        <v>5</v>
      </c>
      <c r="C27" s="358" t="s">
        <v>5016</v>
      </c>
      <c r="D27" s="408"/>
      <c r="E27" s="408"/>
      <c r="F27" s="408"/>
      <c r="G27" s="408"/>
      <c r="H27" s="408"/>
      <c r="I27" s="408"/>
      <c r="J27" s="408"/>
      <c r="K27" s="408"/>
      <c r="L27" s="408"/>
      <c r="M27" s="357">
        <f>CustoContabil!E14</f>
        <v>0</v>
      </c>
      <c r="N27" s="155"/>
      <c r="O27" s="408"/>
      <c r="P27" s="408"/>
      <c r="Q27" s="392">
        <f>SUM((D27:M27))</f>
        <v>0</v>
      </c>
    </row>
    <row r="28" spans="2:17" ht="18" customHeight="1" x14ac:dyDescent="0.25">
      <c r="B28" s="224">
        <v>6</v>
      </c>
      <c r="C28" s="358" t="s">
        <v>5017</v>
      </c>
      <c r="D28" s="408"/>
      <c r="E28" s="408"/>
      <c r="F28" s="408"/>
      <c r="G28" s="408"/>
      <c r="H28" s="408"/>
      <c r="I28" s="408"/>
      <c r="J28" s="408"/>
      <c r="K28" s="408"/>
      <c r="L28" s="408"/>
      <c r="M28" s="357">
        <f>CustoContabil!E18</f>
        <v>0</v>
      </c>
      <c r="N28" s="155"/>
      <c r="O28" s="408"/>
      <c r="P28" s="408"/>
      <c r="Q28" s="392">
        <f t="shared" si="1"/>
        <v>0</v>
      </c>
    </row>
    <row r="29" spans="2:17" ht="18" customHeight="1" x14ac:dyDescent="0.25">
      <c r="B29" s="224">
        <v>7</v>
      </c>
      <c r="C29" s="358" t="s">
        <v>5018</v>
      </c>
      <c r="D29" s="408"/>
      <c r="E29" s="408"/>
      <c r="F29" s="408"/>
      <c r="G29" s="408"/>
      <c r="H29" s="408"/>
      <c r="I29" s="408"/>
      <c r="J29" s="408"/>
      <c r="K29" s="408"/>
      <c r="L29" s="408"/>
      <c r="M29" s="357">
        <f>SUM(IlumCusto!K48+IlumCusto!K33,MotorCusto!K48+MotorCusto!K33,SolarCusto!K48+SolarCusto!K33,CondAmbCusto!K33+CondAmbCusto!K48,RefrigCusto!K33+RefrigCusto!K48,OutrosCusto!K33+OutrosCusto!K48)</f>
        <v>0</v>
      </c>
      <c r="N29" s="155"/>
      <c r="O29" s="408"/>
      <c r="P29" s="408"/>
      <c r="Q29" s="392">
        <f t="shared" si="1"/>
        <v>0</v>
      </c>
    </row>
    <row r="30" spans="2:17" ht="18" customHeight="1" x14ac:dyDescent="0.25">
      <c r="B30" s="224">
        <v>8</v>
      </c>
      <c r="C30" s="358" t="s">
        <v>5019</v>
      </c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357">
        <f>SUM('FI-FVCusto'!K33,'FI-FVCusto'!K48)</f>
        <v>0</v>
      </c>
      <c r="Q30" s="392">
        <f>SUM((D30:P30))</f>
        <v>0</v>
      </c>
    </row>
    <row r="31" spans="2:17" ht="20.25" customHeight="1" x14ac:dyDescent="0.25">
      <c r="B31" s="973" t="s">
        <v>5020</v>
      </c>
      <c r="C31" s="974"/>
      <c r="D31" s="361">
        <f>SUM(D7:D30)</f>
        <v>0</v>
      </c>
      <c r="E31" s="361">
        <f t="shared" ref="E31:P31" si="2">SUM(E7:E30)</f>
        <v>0</v>
      </c>
      <c r="F31" s="361">
        <f t="shared" si="2"/>
        <v>0</v>
      </c>
      <c r="G31" s="361">
        <f t="shared" si="2"/>
        <v>0</v>
      </c>
      <c r="H31" s="361">
        <f t="shared" si="2"/>
        <v>0</v>
      </c>
      <c r="I31" s="361">
        <f t="shared" si="2"/>
        <v>0</v>
      </c>
      <c r="J31" s="361">
        <f t="shared" si="2"/>
        <v>0</v>
      </c>
      <c r="K31" s="361">
        <f t="shared" si="2"/>
        <v>0</v>
      </c>
      <c r="L31" s="361">
        <f t="shared" si="2"/>
        <v>0</v>
      </c>
      <c r="M31" s="361">
        <f t="shared" si="2"/>
        <v>0</v>
      </c>
      <c r="N31" s="361">
        <f t="shared" si="2"/>
        <v>0</v>
      </c>
      <c r="O31" s="361">
        <f t="shared" si="2"/>
        <v>0</v>
      </c>
      <c r="P31" s="361">
        <f t="shared" si="2"/>
        <v>0</v>
      </c>
      <c r="Q31" s="361">
        <f>SUM(D31:P31)</f>
        <v>0</v>
      </c>
    </row>
    <row r="32" spans="2:17" ht="6" customHeight="1" x14ac:dyDescent="0.25">
      <c r="B32" s="403"/>
      <c r="C32" s="403"/>
      <c r="D32" s="404"/>
      <c r="E32" s="404"/>
      <c r="F32" s="404"/>
      <c r="G32" s="404"/>
      <c r="H32" s="404"/>
      <c r="I32" s="404"/>
      <c r="J32" s="404"/>
      <c r="K32" s="404"/>
      <c r="L32" s="405"/>
      <c r="M32" s="405"/>
      <c r="N32" s="405"/>
      <c r="O32" s="405"/>
      <c r="P32" s="405"/>
      <c r="Q32" s="405"/>
    </row>
    <row r="33" spans="2:17" ht="15" x14ac:dyDescent="0.25">
      <c r="D33" s="964" t="s">
        <v>5021</v>
      </c>
      <c r="E33" s="964"/>
      <c r="F33" s="964"/>
      <c r="G33" s="964"/>
      <c r="H33" s="964"/>
      <c r="I33" s="964"/>
      <c r="J33" s="964"/>
      <c r="K33" s="964"/>
    </row>
    <row r="34" spans="2:17" ht="15" x14ac:dyDescent="0.25">
      <c r="L34" s="964" t="s">
        <v>5022</v>
      </c>
      <c r="M34" s="964"/>
      <c r="N34" s="964"/>
      <c r="O34" s="964"/>
    </row>
    <row r="35" spans="2:17" ht="15" x14ac:dyDescent="0.25"/>
    <row r="36" spans="2:17" s="407" customFormat="1" ht="20.25" customHeight="1" x14ac:dyDescent="0.3">
      <c r="B36" s="972" t="s">
        <v>5023</v>
      </c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</row>
    <row r="37" spans="2:17" ht="8.25" customHeight="1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O37" s="406"/>
    </row>
    <row r="38" spans="2:17" ht="20.25" customHeight="1" x14ac:dyDescent="0.25">
      <c r="B38" s="965" t="s">
        <v>5024</v>
      </c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</row>
    <row r="39" spans="2:17" ht="20.25" customHeight="1" x14ac:dyDescent="0.25">
      <c r="B39" s="965"/>
      <c r="C39" s="965"/>
      <c r="D39" s="965"/>
      <c r="E39" s="965"/>
      <c r="F39" s="965"/>
      <c r="G39" s="965"/>
      <c r="H39" s="965"/>
      <c r="I39" s="965"/>
      <c r="J39" s="965"/>
      <c r="K39" s="965"/>
      <c r="L39" s="965"/>
      <c r="M39" s="965"/>
      <c r="N39" s="965"/>
      <c r="O39" s="965"/>
      <c r="P39" s="965"/>
      <c r="Q39" s="965"/>
    </row>
    <row r="40" spans="2:17" ht="7.5" customHeight="1" x14ac:dyDescent="0.25"/>
    <row r="41" spans="2:17" s="407" customFormat="1" ht="20.25" customHeight="1" x14ac:dyDescent="0.3">
      <c r="B41" s="963" t="s">
        <v>5025</v>
      </c>
      <c r="C41" s="963"/>
      <c r="D41" s="963"/>
      <c r="E41" s="963"/>
      <c r="F41" s="963"/>
      <c r="G41" s="963"/>
      <c r="H41" s="963"/>
      <c r="I41" s="963"/>
      <c r="J41" s="963"/>
      <c r="K41" s="963"/>
      <c r="L41" s="963"/>
      <c r="M41" s="963"/>
      <c r="N41" s="963"/>
      <c r="O41" s="963"/>
      <c r="P41" s="963"/>
      <c r="Q41" s="963"/>
    </row>
    <row r="42" spans="2:17" ht="7.5" customHeight="1" x14ac:dyDescent="0.25"/>
    <row r="43" spans="2:17" s="407" customFormat="1" ht="20.25" customHeight="1" x14ac:dyDescent="0.3">
      <c r="B43" s="963" t="s">
        <v>5026</v>
      </c>
      <c r="C43" s="963"/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963"/>
      <c r="P43" s="963"/>
      <c r="Q43" s="963"/>
    </row>
    <row r="44" spans="2:17" ht="15" x14ac:dyDescent="0.25"/>
    <row r="45" spans="2:17" ht="15" x14ac:dyDescent="0.25"/>
    <row r="46" spans="2:17" ht="15" x14ac:dyDescent="0.25"/>
    <row r="47" spans="2:17" ht="15" x14ac:dyDescent="0.25"/>
    <row r="48" spans="2:17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</sheetData>
  <mergeCells count="12">
    <mergeCell ref="B2:F3"/>
    <mergeCell ref="B36:Q36"/>
    <mergeCell ref="Q5:Q6"/>
    <mergeCell ref="B31:C31"/>
    <mergeCell ref="C17:D17"/>
    <mergeCell ref="B5:C6"/>
    <mergeCell ref="D5:P5"/>
    <mergeCell ref="B43:Q43"/>
    <mergeCell ref="B41:Q41"/>
    <mergeCell ref="L34:O34"/>
    <mergeCell ref="D33:K33"/>
    <mergeCell ref="B38:Q39"/>
  </mergeCells>
  <conditionalFormatting sqref="D7:M7 D18:M30 O18:P30">
    <cfRule type="cellIs" dxfId="2" priority="6" operator="notEqual">
      <formula>""</formula>
    </cfRule>
  </conditionalFormatting>
  <conditionalFormatting sqref="N30">
    <cfRule type="cellIs" dxfId="1" priority="5" operator="notEqual">
      <formula>""</formula>
    </cfRule>
  </conditionalFormatting>
  <conditionalFormatting sqref="O7:P7 D9:P16">
    <cfRule type="cellIs" dxfId="0" priority="8" operator="notEqual">
      <formula>""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&amp;L&amp;"Calibri"&amp;10&amp;K0000FFUso Interno CPFL&amp;1#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3"/>
  <dimension ref="A1:I63"/>
  <sheetViews>
    <sheetView zoomScale="115" zoomScaleNormal="115" workbookViewId="0">
      <selection activeCell="D10" sqref="D10"/>
    </sheetView>
  </sheetViews>
  <sheetFormatPr defaultColWidth="20.28515625" defaultRowHeight="15" x14ac:dyDescent="0.25"/>
  <cols>
    <col min="1" max="1" width="5.7109375" style="434" customWidth="1"/>
    <col min="2" max="2" width="30" style="434" customWidth="1"/>
    <col min="3" max="3" width="31.7109375" style="434" customWidth="1"/>
    <col min="4" max="4" width="23.7109375" style="434" customWidth="1"/>
    <col min="5" max="5" width="24.140625" style="434" customWidth="1"/>
    <col min="6" max="6" width="6.140625" style="434" customWidth="1"/>
    <col min="7" max="7" width="9.140625" style="434" customWidth="1"/>
    <col min="8" max="16384" width="20.28515625" style="434"/>
  </cols>
  <sheetData>
    <row r="1" spans="1:9" x14ac:dyDescent="0.25">
      <c r="A1" s="52"/>
      <c r="B1" s="984" t="s">
        <v>5027</v>
      </c>
      <c r="C1" s="984"/>
      <c r="D1" s="984"/>
      <c r="E1" s="984"/>
      <c r="F1" s="52"/>
    </row>
    <row r="2" spans="1:9" x14ac:dyDescent="0.25">
      <c r="A2" s="52"/>
      <c r="B2" s="1000" t="s">
        <v>5028</v>
      </c>
      <c r="C2" s="1000"/>
      <c r="D2" s="1000"/>
      <c r="E2" s="1000"/>
      <c r="F2" s="52"/>
    </row>
    <row r="3" spans="1:9" ht="15" customHeight="1" x14ac:dyDescent="0.25">
      <c r="A3" s="52"/>
      <c r="B3" s="1000" t="s">
        <v>5029</v>
      </c>
      <c r="C3" s="1000"/>
      <c r="D3" s="1000"/>
      <c r="E3" s="1000"/>
      <c r="F3" s="52"/>
      <c r="H3" s="728" t="s">
        <v>5030</v>
      </c>
      <c r="I3" s="729"/>
    </row>
    <row r="4" spans="1:9" ht="15" customHeight="1" x14ac:dyDescent="0.25">
      <c r="A4" s="52"/>
      <c r="B4" s="1000" t="s">
        <v>5031</v>
      </c>
      <c r="C4" s="1000"/>
      <c r="D4" s="1000"/>
      <c r="E4" s="1000"/>
      <c r="F4" s="52"/>
      <c r="H4" s="728"/>
      <c r="I4" s="729"/>
    </row>
    <row r="5" spans="1:9" ht="15.75" customHeight="1" thickBot="1" x14ac:dyDescent="0.3">
      <c r="A5" s="52"/>
      <c r="B5" s="563"/>
      <c r="C5" s="563"/>
      <c r="D5" s="563"/>
      <c r="E5" s="563"/>
      <c r="F5" s="52"/>
      <c r="H5" s="728"/>
      <c r="I5" s="729"/>
    </row>
    <row r="6" spans="1:9" ht="15" customHeight="1" x14ac:dyDescent="0.25">
      <c r="A6" s="52"/>
      <c r="B6" s="423"/>
      <c r="C6" s="985" t="s">
        <v>5032</v>
      </c>
      <c r="D6" s="986"/>
      <c r="E6" s="987"/>
      <c r="F6" s="416"/>
      <c r="H6" s="728"/>
      <c r="I6" s="729"/>
    </row>
    <row r="7" spans="1:9" ht="15.75" customHeight="1" thickBot="1" x14ac:dyDescent="0.3">
      <c r="A7" s="52"/>
      <c r="B7" s="991" t="s">
        <v>5033</v>
      </c>
      <c r="C7" s="988"/>
      <c r="D7" s="989"/>
      <c r="E7" s="990"/>
      <c r="F7" s="416"/>
      <c r="H7" s="728"/>
      <c r="I7" s="729"/>
    </row>
    <row r="8" spans="1:9" ht="16.5" customHeight="1" thickBot="1" x14ac:dyDescent="0.3">
      <c r="A8" s="52"/>
      <c r="B8" s="991"/>
      <c r="C8" s="993" t="s">
        <v>5034</v>
      </c>
      <c r="D8" s="995" t="s">
        <v>5035</v>
      </c>
      <c r="E8" s="996"/>
      <c r="F8" s="416"/>
    </row>
    <row r="9" spans="1:9" ht="16.5" customHeight="1" thickBot="1" x14ac:dyDescent="0.3">
      <c r="A9" s="52"/>
      <c r="B9" s="992"/>
      <c r="C9" s="994"/>
      <c r="D9" s="559" t="s">
        <v>5036</v>
      </c>
      <c r="E9" s="559" t="s">
        <v>5037</v>
      </c>
      <c r="F9" s="416"/>
    </row>
    <row r="10" spans="1:9" ht="16.5" customHeight="1" thickBot="1" x14ac:dyDescent="0.3">
      <c r="A10" s="52"/>
      <c r="B10" s="424" t="s">
        <v>3919</v>
      </c>
      <c r="C10" s="436">
        <f>CustoContabil!F6+CustoContabil!G6</f>
        <v>0</v>
      </c>
      <c r="D10" s="436">
        <f>CustoContabil!E6</f>
        <v>0</v>
      </c>
      <c r="E10" s="425" t="s">
        <v>5038</v>
      </c>
      <c r="F10" s="416"/>
    </row>
    <row r="11" spans="1:9" ht="16.5" customHeight="1" thickBot="1" x14ac:dyDescent="0.3">
      <c r="A11" s="52"/>
      <c r="B11" s="424" t="s">
        <v>12</v>
      </c>
      <c r="C11" s="425" t="s">
        <v>5038</v>
      </c>
      <c r="D11" s="425" t="s">
        <v>5038</v>
      </c>
      <c r="E11" s="436">
        <f>CustoContabil!E7</f>
        <v>0</v>
      </c>
      <c r="F11" s="416"/>
    </row>
    <row r="12" spans="1:9" ht="16.5" customHeight="1" thickBot="1" x14ac:dyDescent="0.3">
      <c r="A12" s="52"/>
      <c r="B12" s="424" t="s">
        <v>3920</v>
      </c>
      <c r="C12" s="425" t="s">
        <v>5038</v>
      </c>
      <c r="D12" s="436">
        <f>CustoContabil!E8</f>
        <v>0</v>
      </c>
      <c r="E12" s="425" t="s">
        <v>5038</v>
      </c>
      <c r="F12" s="416"/>
    </row>
    <row r="13" spans="1:9" ht="16.5" customHeight="1" thickBot="1" x14ac:dyDescent="0.3">
      <c r="A13" s="52"/>
      <c r="B13" s="424" t="s">
        <v>14</v>
      </c>
      <c r="C13" s="425" t="s">
        <v>5038</v>
      </c>
      <c r="D13" s="425" t="s">
        <v>5038</v>
      </c>
      <c r="E13" s="436">
        <f>CustoContabil!E9</f>
        <v>0</v>
      </c>
      <c r="F13" s="416"/>
    </row>
    <row r="14" spans="1:9" ht="16.5" customHeight="1" thickBot="1" x14ac:dyDescent="0.3">
      <c r="A14" s="52"/>
      <c r="B14" s="426" t="s">
        <v>3923</v>
      </c>
      <c r="C14" s="425" t="s">
        <v>5038</v>
      </c>
      <c r="D14" s="425" t="s">
        <v>5038</v>
      </c>
      <c r="E14" s="436">
        <f>CustoContabil!E12</f>
        <v>0</v>
      </c>
      <c r="F14" s="416"/>
    </row>
    <row r="15" spans="1:9" ht="16.5" customHeight="1" thickBot="1" x14ac:dyDescent="0.3">
      <c r="A15" s="52"/>
      <c r="B15" s="424" t="s">
        <v>3935</v>
      </c>
      <c r="C15" s="425" t="s">
        <v>5038</v>
      </c>
      <c r="D15" s="425" t="s">
        <v>5038</v>
      </c>
      <c r="E15" s="436">
        <f>CustoContabil!E13</f>
        <v>0</v>
      </c>
      <c r="F15" s="416"/>
    </row>
    <row r="16" spans="1:9" ht="16.5" customHeight="1" thickBot="1" x14ac:dyDescent="0.3">
      <c r="A16" s="52"/>
      <c r="B16" s="424" t="s">
        <v>3925</v>
      </c>
      <c r="C16" s="425" t="s">
        <v>5038</v>
      </c>
      <c r="D16" s="436">
        <f>CustoContabil!E14</f>
        <v>0</v>
      </c>
      <c r="E16" s="425" t="s">
        <v>5038</v>
      </c>
      <c r="F16" s="416"/>
    </row>
    <row r="17" spans="1:7" ht="16.5" customHeight="1" thickBot="1" x14ac:dyDescent="0.3">
      <c r="A17" s="52"/>
      <c r="B17" s="424" t="s">
        <v>3926</v>
      </c>
      <c r="C17" s="425" t="s">
        <v>5038</v>
      </c>
      <c r="D17" s="436">
        <f>CustoContabil!E15</f>
        <v>0</v>
      </c>
      <c r="E17" s="425" t="s">
        <v>5038</v>
      </c>
      <c r="F17" s="416"/>
    </row>
    <row r="18" spans="1:7" ht="16.5" customHeight="1" thickBot="1" x14ac:dyDescent="0.3">
      <c r="A18" s="52"/>
      <c r="B18" s="424" t="s">
        <v>3927</v>
      </c>
      <c r="C18" s="425" t="s">
        <v>5038</v>
      </c>
      <c r="D18" s="436">
        <f>CustoContabil!E16</f>
        <v>0</v>
      </c>
      <c r="E18" s="425" t="s">
        <v>5038</v>
      </c>
      <c r="F18" s="416"/>
    </row>
    <row r="19" spans="1:7" ht="16.5" customHeight="1" thickBot="1" x14ac:dyDescent="0.3">
      <c r="A19" s="52"/>
      <c r="B19" s="427" t="s">
        <v>5039</v>
      </c>
      <c r="C19" s="428" t="s">
        <v>5038</v>
      </c>
      <c r="D19" s="428" t="s">
        <v>5038</v>
      </c>
      <c r="E19" s="438">
        <f>CustoContabil!E17</f>
        <v>3000</v>
      </c>
      <c r="F19" s="416"/>
    </row>
    <row r="20" spans="1:7" ht="16.5" customHeight="1" thickBot="1" x14ac:dyDescent="0.3">
      <c r="A20" s="52"/>
      <c r="B20" s="427" t="s">
        <v>3929</v>
      </c>
      <c r="C20" s="428" t="s">
        <v>5038</v>
      </c>
      <c r="D20" s="438">
        <f>CustoContabil!E18</f>
        <v>0</v>
      </c>
      <c r="E20" s="428" t="s">
        <v>5038</v>
      </c>
      <c r="F20" s="416"/>
    </row>
    <row r="21" spans="1:7" ht="16.5" customHeight="1" thickBot="1" x14ac:dyDescent="0.3">
      <c r="A21" s="52"/>
      <c r="B21" s="560" t="s">
        <v>76</v>
      </c>
      <c r="C21" s="436">
        <f>C10</f>
        <v>0</v>
      </c>
      <c r="D21" s="436">
        <f>D10+D12+D16+D17+D18+D20</f>
        <v>0</v>
      </c>
      <c r="E21" s="436">
        <f>E11+E13+E14+E15+E19</f>
        <v>3000</v>
      </c>
      <c r="F21" s="416"/>
    </row>
    <row r="22" spans="1:7" ht="16.5" thickBot="1" x14ac:dyDescent="0.3">
      <c r="A22" s="52"/>
      <c r="B22" s="561" t="s">
        <v>5040</v>
      </c>
      <c r="C22" s="997">
        <f>C21+D21+E21</f>
        <v>3000</v>
      </c>
      <c r="D22" s="998"/>
      <c r="E22" s="999"/>
      <c r="F22" s="416"/>
    </row>
    <row r="23" spans="1:7" x14ac:dyDescent="0.25">
      <c r="A23" s="52"/>
      <c r="B23" s="76"/>
      <c r="C23" s="52"/>
      <c r="D23" s="52"/>
      <c r="E23" s="52"/>
      <c r="F23" s="52"/>
    </row>
    <row r="24" spans="1:7" x14ac:dyDescent="0.25">
      <c r="A24" s="52"/>
      <c r="B24" s="984" t="s">
        <v>5027</v>
      </c>
      <c r="C24" s="984"/>
      <c r="D24" s="984"/>
      <c r="E24" s="984"/>
      <c r="F24" s="52"/>
    </row>
    <row r="25" spans="1:7" x14ac:dyDescent="0.25">
      <c r="A25" s="52"/>
      <c r="B25" s="76" t="s">
        <v>5028</v>
      </c>
      <c r="C25" s="52"/>
      <c r="D25" s="52"/>
      <c r="E25" s="52"/>
      <c r="F25" s="52"/>
    </row>
    <row r="26" spans="1:7" ht="15" customHeight="1" x14ac:dyDescent="0.25">
      <c r="A26" s="52"/>
      <c r="B26" s="76" t="s">
        <v>5029</v>
      </c>
      <c r="C26" s="52"/>
      <c r="D26" s="52"/>
      <c r="E26" s="980" t="s">
        <v>5030</v>
      </c>
      <c r="F26" s="981"/>
      <c r="G26" s="981"/>
    </row>
    <row r="27" spans="1:7" ht="15" customHeight="1" x14ac:dyDescent="0.25">
      <c r="A27" s="52"/>
      <c r="B27" s="76" t="s">
        <v>5031</v>
      </c>
      <c r="C27" s="52"/>
      <c r="D27" s="52"/>
      <c r="E27" s="980"/>
      <c r="F27" s="981"/>
      <c r="G27" s="981"/>
    </row>
    <row r="28" spans="1:7" ht="15.75" customHeight="1" thickBot="1" x14ac:dyDescent="0.3">
      <c r="A28" s="52"/>
      <c r="B28" s="76"/>
      <c r="C28" s="52"/>
      <c r="D28" s="52"/>
      <c r="E28" s="980"/>
      <c r="F28" s="981"/>
      <c r="G28" s="981"/>
    </row>
    <row r="29" spans="1:7" ht="16.5" customHeight="1" thickBot="1" x14ac:dyDescent="0.3">
      <c r="A29" s="52"/>
      <c r="B29" s="977" t="s">
        <v>5033</v>
      </c>
      <c r="C29" s="562" t="s">
        <v>5032</v>
      </c>
      <c r="D29" s="52"/>
      <c r="E29" s="980"/>
      <c r="F29" s="981"/>
      <c r="G29" s="981"/>
    </row>
    <row r="30" spans="1:7" ht="16.5" customHeight="1" thickBot="1" x14ac:dyDescent="0.3">
      <c r="A30" s="52"/>
      <c r="B30" s="978"/>
      <c r="C30" s="559" t="s">
        <v>5035</v>
      </c>
      <c r="D30" s="52"/>
      <c r="E30" s="980"/>
      <c r="F30" s="981"/>
      <c r="G30" s="981"/>
    </row>
    <row r="31" spans="1:7" ht="16.5" thickBot="1" x14ac:dyDescent="0.3">
      <c r="A31" s="52"/>
      <c r="B31" s="979"/>
      <c r="C31" s="559" t="s">
        <v>5036</v>
      </c>
      <c r="D31" s="52"/>
      <c r="E31" s="52"/>
      <c r="F31" s="52"/>
    </row>
    <row r="32" spans="1:7" ht="16.5" thickBot="1" x14ac:dyDescent="0.3">
      <c r="A32" s="52"/>
      <c r="B32" s="429" t="s">
        <v>3919</v>
      </c>
      <c r="C32" s="436">
        <f>CustoContabil!E6</f>
        <v>0</v>
      </c>
      <c r="D32" s="52"/>
      <c r="E32" s="52"/>
      <c r="F32" s="52"/>
    </row>
    <row r="33" spans="1:7" ht="16.5" thickBot="1" x14ac:dyDescent="0.3">
      <c r="A33" s="52"/>
      <c r="B33" s="429" t="s">
        <v>3920</v>
      </c>
      <c r="C33" s="436">
        <f>CustoContabil!E8</f>
        <v>0</v>
      </c>
      <c r="D33" s="52"/>
      <c r="E33" s="52"/>
      <c r="F33" s="52"/>
    </row>
    <row r="34" spans="1:7" ht="16.5" thickBot="1" x14ac:dyDescent="0.3">
      <c r="A34" s="52"/>
      <c r="B34" s="429" t="s">
        <v>3925</v>
      </c>
      <c r="C34" s="436">
        <f>CustoContabil!E14</f>
        <v>0</v>
      </c>
      <c r="D34" s="52"/>
      <c r="E34" s="52"/>
      <c r="F34" s="52"/>
    </row>
    <row r="35" spans="1:7" ht="16.5" thickBot="1" x14ac:dyDescent="0.3">
      <c r="A35" s="52"/>
      <c r="B35" s="429" t="s">
        <v>3926</v>
      </c>
      <c r="C35" s="436">
        <f>CustoContabil!E15</f>
        <v>0</v>
      </c>
      <c r="D35" s="52"/>
      <c r="E35" s="52"/>
      <c r="F35" s="52"/>
    </row>
    <row r="36" spans="1:7" ht="16.5" thickBot="1" x14ac:dyDescent="0.3">
      <c r="A36" s="52"/>
      <c r="B36" s="429" t="s">
        <v>3927</v>
      </c>
      <c r="C36" s="436">
        <f>CustoContabil!E16</f>
        <v>0</v>
      </c>
      <c r="D36" s="52"/>
      <c r="E36" s="52"/>
      <c r="F36" s="52"/>
    </row>
    <row r="37" spans="1:7" ht="16.5" thickBot="1" x14ac:dyDescent="0.3">
      <c r="A37" s="52"/>
      <c r="B37" s="429" t="s">
        <v>3929</v>
      </c>
      <c r="C37" s="436">
        <f>CustoContabil!E18</f>
        <v>0</v>
      </c>
      <c r="D37" s="52"/>
      <c r="E37" s="52"/>
      <c r="F37" s="52"/>
    </row>
    <row r="38" spans="1:7" ht="16.5" thickBot="1" x14ac:dyDescent="0.3">
      <c r="A38" s="52"/>
      <c r="B38" s="561" t="s">
        <v>76</v>
      </c>
      <c r="C38" s="436">
        <f>SUM(C32:C37)</f>
        <v>0</v>
      </c>
      <c r="D38" s="52"/>
      <c r="E38" s="52"/>
      <c r="F38" s="52"/>
    </row>
    <row r="39" spans="1:7" x14ac:dyDescent="0.25">
      <c r="A39" s="52"/>
      <c r="B39" s="76"/>
      <c r="C39" s="52"/>
      <c r="D39" s="52"/>
      <c r="E39" s="52"/>
      <c r="F39" s="52"/>
    </row>
    <row r="40" spans="1:7" x14ac:dyDescent="0.25">
      <c r="A40" s="52"/>
      <c r="B40" s="52"/>
      <c r="C40" s="52"/>
      <c r="D40" s="52"/>
      <c r="E40" s="52"/>
      <c r="F40" s="52"/>
    </row>
    <row r="41" spans="1:7" x14ac:dyDescent="0.25">
      <c r="A41" s="52"/>
      <c r="B41" s="984" t="s">
        <v>5027</v>
      </c>
      <c r="C41" s="984"/>
      <c r="D41" s="984"/>
      <c r="E41" s="984"/>
      <c r="F41" s="52"/>
    </row>
    <row r="42" spans="1:7" ht="15" customHeight="1" x14ac:dyDescent="0.25">
      <c r="A42" s="52"/>
      <c r="B42" s="52" t="s">
        <v>5041</v>
      </c>
      <c r="C42" s="52"/>
      <c r="D42" s="52"/>
      <c r="E42" s="980" t="s">
        <v>5030</v>
      </c>
      <c r="F42" s="981"/>
      <c r="G42" s="981"/>
    </row>
    <row r="43" spans="1:7" ht="15.75" customHeight="1" thickBot="1" x14ac:dyDescent="0.3">
      <c r="A43" s="52"/>
      <c r="B43" s="52"/>
      <c r="C43" s="52"/>
      <c r="D43" s="52"/>
      <c r="E43" s="980"/>
      <c r="F43" s="981"/>
      <c r="G43" s="981"/>
    </row>
    <row r="44" spans="1:7" ht="15" customHeight="1" x14ac:dyDescent="0.25">
      <c r="A44" s="52"/>
      <c r="B44" s="982" t="s">
        <v>5033</v>
      </c>
      <c r="C44" s="430" t="s">
        <v>5032</v>
      </c>
      <c r="D44" s="52"/>
      <c r="E44" s="980"/>
      <c r="F44" s="981"/>
      <c r="G44" s="981"/>
    </row>
    <row r="45" spans="1:7" ht="15.75" customHeight="1" thickBot="1" x14ac:dyDescent="0.3">
      <c r="A45" s="52"/>
      <c r="B45" s="983"/>
      <c r="C45" s="431" t="s">
        <v>5035</v>
      </c>
      <c r="D45" s="52"/>
      <c r="E45" s="980"/>
      <c r="F45" s="981"/>
      <c r="G45" s="981"/>
    </row>
    <row r="46" spans="1:7" ht="15.75" customHeight="1" thickBot="1" x14ac:dyDescent="0.3">
      <c r="A46" s="52"/>
      <c r="B46" s="429" t="s">
        <v>3919</v>
      </c>
      <c r="C46" s="439">
        <f>CustoContabil!C6</f>
        <v>0</v>
      </c>
      <c r="D46" s="52"/>
      <c r="E46" s="980"/>
      <c r="F46" s="981"/>
      <c r="G46" s="981"/>
    </row>
    <row r="47" spans="1:7" ht="15.75" customHeight="1" thickBot="1" x14ac:dyDescent="0.3">
      <c r="A47" s="52"/>
      <c r="B47" s="429" t="s">
        <v>12</v>
      </c>
      <c r="C47" s="439">
        <f>CustoContabil!C7</f>
        <v>0</v>
      </c>
      <c r="D47" s="52"/>
      <c r="E47" s="52"/>
      <c r="F47" s="52"/>
    </row>
    <row r="48" spans="1:7" ht="15.75" thickBot="1" x14ac:dyDescent="0.3">
      <c r="A48" s="52"/>
      <c r="B48" s="429" t="s">
        <v>3920</v>
      </c>
      <c r="C48" s="439">
        <f>CustoContabil!C8</f>
        <v>0</v>
      </c>
      <c r="D48" s="52"/>
      <c r="E48" s="52"/>
      <c r="F48" s="52"/>
    </row>
    <row r="49" spans="1:6" ht="15.75" thickBot="1" x14ac:dyDescent="0.3">
      <c r="A49" s="52"/>
      <c r="B49" s="429" t="s">
        <v>14</v>
      </c>
      <c r="C49" s="439">
        <f>CustoContabil!C9</f>
        <v>0</v>
      </c>
      <c r="D49" s="52"/>
      <c r="E49" s="52"/>
      <c r="F49" s="52"/>
    </row>
    <row r="50" spans="1:6" ht="15.75" thickBot="1" x14ac:dyDescent="0.3">
      <c r="A50" s="52"/>
      <c r="B50" s="429" t="s">
        <v>3923</v>
      </c>
      <c r="C50" s="439">
        <f>CustoContabil!C12</f>
        <v>0</v>
      </c>
      <c r="D50" s="52"/>
      <c r="E50" s="52"/>
      <c r="F50" s="52"/>
    </row>
    <row r="51" spans="1:6" ht="15.75" thickBot="1" x14ac:dyDescent="0.3">
      <c r="A51" s="52"/>
      <c r="B51" s="429" t="s">
        <v>3924</v>
      </c>
      <c r="C51" s="439">
        <f>CustoContabil!C13</f>
        <v>0</v>
      </c>
      <c r="D51" s="52"/>
      <c r="E51" s="52"/>
      <c r="F51" s="52"/>
    </row>
    <row r="52" spans="1:6" ht="15.75" thickBot="1" x14ac:dyDescent="0.3">
      <c r="A52" s="52"/>
      <c r="B52" s="429" t="s">
        <v>3925</v>
      </c>
      <c r="C52" s="439">
        <f>CustoContabil!C14</f>
        <v>0</v>
      </c>
      <c r="D52" s="52"/>
      <c r="E52" s="52"/>
      <c r="F52" s="52"/>
    </row>
    <row r="53" spans="1:6" ht="15.75" thickBot="1" x14ac:dyDescent="0.3">
      <c r="A53" s="52"/>
      <c r="B53" s="429" t="s">
        <v>3926</v>
      </c>
      <c r="C53" s="439">
        <f>CustoContabil!C15</f>
        <v>0</v>
      </c>
      <c r="D53" s="52"/>
      <c r="E53" s="52"/>
      <c r="F53" s="52"/>
    </row>
    <row r="54" spans="1:6" ht="15.75" thickBot="1" x14ac:dyDescent="0.3">
      <c r="A54" s="52"/>
      <c r="B54" s="429" t="s">
        <v>3927</v>
      </c>
      <c r="C54" s="439">
        <f>CustoContabil!C16</f>
        <v>0</v>
      </c>
      <c r="D54" s="52"/>
      <c r="E54" s="52"/>
      <c r="F54" s="52"/>
    </row>
    <row r="55" spans="1:6" ht="15.75" thickBot="1" x14ac:dyDescent="0.3">
      <c r="A55" s="52"/>
      <c r="B55" s="429" t="s">
        <v>5039</v>
      </c>
      <c r="C55" s="439">
        <f>CustoContabil!C17</f>
        <v>3000</v>
      </c>
      <c r="D55" s="52"/>
      <c r="E55" s="52"/>
      <c r="F55" s="52"/>
    </row>
    <row r="56" spans="1:6" ht="15.75" thickBot="1" x14ac:dyDescent="0.3">
      <c r="A56" s="52"/>
      <c r="B56" s="429" t="s">
        <v>5039</v>
      </c>
      <c r="C56" s="439">
        <f>CustoContabil!C18</f>
        <v>0</v>
      </c>
      <c r="D56" s="52"/>
      <c r="E56" s="52"/>
      <c r="F56" s="52"/>
    </row>
    <row r="57" spans="1:6" ht="15.75" thickBot="1" x14ac:dyDescent="0.3">
      <c r="A57" s="52"/>
      <c r="B57" s="432" t="s">
        <v>76</v>
      </c>
      <c r="C57" s="439">
        <f>SUM(C46:C56)</f>
        <v>3000</v>
      </c>
      <c r="D57" s="52"/>
      <c r="E57" s="52"/>
      <c r="F57" s="52"/>
    </row>
    <row r="58" spans="1:6" ht="15.75" x14ac:dyDescent="0.25">
      <c r="A58" s="52"/>
      <c r="B58" s="433"/>
      <c r="C58" s="52"/>
      <c r="D58" s="52"/>
      <c r="E58" s="52"/>
      <c r="F58" s="52"/>
    </row>
    <row r="59" spans="1:6" ht="15.75" x14ac:dyDescent="0.25">
      <c r="B59" s="437"/>
    </row>
    <row r="60" spans="1:6" ht="15.75" x14ac:dyDescent="0.25">
      <c r="B60" s="437"/>
    </row>
    <row r="61" spans="1:6" x14ac:dyDescent="0.25">
      <c r="B61" s="435"/>
    </row>
    <row r="62" spans="1:6" x14ac:dyDescent="0.25">
      <c r="B62" s="435"/>
    </row>
    <row r="63" spans="1:6" x14ac:dyDescent="0.25">
      <c r="B63" s="435"/>
    </row>
  </sheetData>
  <mergeCells count="16">
    <mergeCell ref="B1:E1"/>
    <mergeCell ref="B2:E2"/>
    <mergeCell ref="B3:E3"/>
    <mergeCell ref="B4:E4"/>
    <mergeCell ref="B24:E24"/>
    <mergeCell ref="B29:B31"/>
    <mergeCell ref="H3:I7"/>
    <mergeCell ref="E26:G30"/>
    <mergeCell ref="E42:G46"/>
    <mergeCell ref="B44:B45"/>
    <mergeCell ref="B41:E41"/>
    <mergeCell ref="C6:E7"/>
    <mergeCell ref="B7:B9"/>
    <mergeCell ref="C8:C9"/>
    <mergeCell ref="D8:E8"/>
    <mergeCell ref="C22:E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&amp;L&amp;"Calibri"&amp;10&amp;K0000FFUso Interno CPFL&amp;1#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319BC9F8C6344E954B2ACF2C2F8D3A" ma:contentTypeVersion="6" ma:contentTypeDescription="Crie um novo documento." ma:contentTypeScope="" ma:versionID="12e2e9634f404c504ea8433e654a1a54">
  <xsd:schema xmlns:xsd="http://www.w3.org/2001/XMLSchema" xmlns:xs="http://www.w3.org/2001/XMLSchema" xmlns:p="http://schemas.microsoft.com/office/2006/metadata/properties" xmlns:ns1="http://schemas.microsoft.com/sharepoint/v3" xmlns:ns2="357cddb1-692e-4613-a18d-5ac88e079cf8" xmlns:ns3="0e683977-b539-4dcd-a387-e8c9c04d7c8c" targetNamespace="http://schemas.microsoft.com/office/2006/metadata/properties" ma:root="true" ma:fieldsID="e39b3c242ea8a2ad29963c92c640101b" ns1:_="" ns2:_="" ns3:_="">
    <xsd:import namespace="http://schemas.microsoft.com/sharepoint/v3"/>
    <xsd:import namespace="357cddb1-692e-4613-a18d-5ac88e079cf8"/>
    <xsd:import namespace="0e683977-b539-4dcd-a387-e8c9c04d7c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cddb1-692e-4613-a18d-5ac88e079c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83977-b539-4dcd-a387-e8c9c04d7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426260-2D98-4456-A5BA-62BB0C551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ACC4C-5970-4E32-BC93-B7EC53C9C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7cddb1-692e-4613-a18d-5ac88e079cf8"/>
    <ds:schemaRef ds:uri="0e683977-b539-4dcd-a387-e8c9c04d7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E969E9-061F-48DC-948C-DDF1EF6E5D20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357cddb1-692e-4613-a18d-5ac88e079cf8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e683977-b539-4dcd-a387-e8c9c04d7c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35</vt:i4>
      </vt:variant>
      <vt:variant>
        <vt:lpstr>Intervalos Nomeados</vt:lpstr>
      </vt:variant>
      <vt:variant>
        <vt:i4>5</vt:i4>
      </vt:variant>
    </vt:vector>
  </HeadingPairs>
  <TitlesOfParts>
    <vt:vector size="40" baseType="lpstr">
      <vt:lpstr>CPFL</vt:lpstr>
      <vt:lpstr>Ajuda</vt:lpstr>
      <vt:lpstr>Utilização IP</vt:lpstr>
      <vt:lpstr>Tarifas</vt:lpstr>
      <vt:lpstr>Cidades Concessão</vt:lpstr>
      <vt:lpstr>Res Nº5.290</vt:lpstr>
      <vt:lpstr>Escolha tarifa</vt:lpstr>
      <vt:lpstr>UCs</vt:lpstr>
      <vt:lpstr>Projeto</vt:lpstr>
      <vt:lpstr>RCB</vt:lpstr>
      <vt:lpstr>CustoContabil</vt:lpstr>
      <vt:lpstr>ContrDesemp</vt:lpstr>
      <vt:lpstr>M&amp;V</vt:lpstr>
      <vt:lpstr>Descarte</vt:lpstr>
      <vt:lpstr>IlumCusto</vt:lpstr>
      <vt:lpstr>IlumBenef</vt:lpstr>
      <vt:lpstr>FI-FVCusto</vt:lpstr>
      <vt:lpstr>FI-FVBenef</vt:lpstr>
      <vt:lpstr>MotorCusto</vt:lpstr>
      <vt:lpstr>MotorBenef</vt:lpstr>
      <vt:lpstr>SolarCusto</vt:lpstr>
      <vt:lpstr>SolarBenef</vt:lpstr>
      <vt:lpstr>CondAmbCusto</vt:lpstr>
      <vt:lpstr>CondAmbBenef</vt:lpstr>
      <vt:lpstr>RefrigCusto</vt:lpstr>
      <vt:lpstr>RefrigBenef</vt:lpstr>
      <vt:lpstr>OutrosCusto</vt:lpstr>
      <vt:lpstr>OutrosBenef</vt:lpstr>
      <vt:lpstr>Referencias UC</vt:lpstr>
      <vt:lpstr>Referências</vt:lpstr>
      <vt:lpstr>BessCusto</vt:lpstr>
      <vt:lpstr>BESSBenef</vt:lpstr>
      <vt:lpstr>Cronogramas Fisicos</vt:lpstr>
      <vt:lpstr>Cronograma Financeiro</vt:lpstr>
      <vt:lpstr>Tabelas Contratos</vt:lpstr>
      <vt:lpstr>Lista_Atividade</vt:lpstr>
      <vt:lpstr>Lista_Empresa</vt:lpstr>
      <vt:lpstr>Lista_Solar</vt:lpstr>
      <vt:lpstr>Lista_Tarifa</vt:lpstr>
      <vt:lpstr>Lista_Tipologia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CPP 2022_140622</dc:title>
  <dc:subject/>
  <dc:creator>diogo.goncalves@cpfl.com.br</dc:creator>
  <cp:keywords>CPFL Energia M9174</cp:keywords>
  <dc:description/>
  <cp:lastModifiedBy>Diogo Palermo Goncalves</cp:lastModifiedBy>
  <cp:revision/>
  <dcterms:created xsi:type="dcterms:W3CDTF">2012-12-24T16:09:14Z</dcterms:created>
  <dcterms:modified xsi:type="dcterms:W3CDTF">2025-06-25T14:16:38Z</dcterms:modified>
  <cp:category>Ferramenta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0x01010082319BC9F8C6344E954B2ACF2C2F8D3A</vt:lpwstr>
  </property>
  <property fmtid="{D5CDD505-2E9C-101B-9397-08002B2CF9AE}" pid="3" name="MSIP_Label_022f19bc-c0ef-436a-be43-be1adb274cf3_Enabled">
    <vt:lpwstr>true</vt:lpwstr>
  </property>
  <property fmtid="{D5CDD505-2E9C-101B-9397-08002B2CF9AE}" pid="4" name="MSIP_Label_022f19bc-c0ef-436a-be43-be1adb274cf3_SetDate">
    <vt:lpwstr>2025-04-11T14:41:49Z</vt:lpwstr>
  </property>
  <property fmtid="{D5CDD505-2E9C-101B-9397-08002B2CF9AE}" pid="5" name="MSIP_Label_022f19bc-c0ef-436a-be43-be1adb274cf3_Method">
    <vt:lpwstr>Standard</vt:lpwstr>
  </property>
  <property fmtid="{D5CDD505-2E9C-101B-9397-08002B2CF9AE}" pid="6" name="MSIP_Label_022f19bc-c0ef-436a-be43-be1adb274cf3_Name">
    <vt:lpwstr>Interno</vt:lpwstr>
  </property>
  <property fmtid="{D5CDD505-2E9C-101B-9397-08002B2CF9AE}" pid="7" name="MSIP_Label_022f19bc-c0ef-436a-be43-be1adb274cf3_SiteId">
    <vt:lpwstr>93546618-e20a-4fd3-a884-9e33ca7234a7</vt:lpwstr>
  </property>
  <property fmtid="{D5CDD505-2E9C-101B-9397-08002B2CF9AE}" pid="8" name="MSIP_Label_022f19bc-c0ef-436a-be43-be1adb274cf3_ActionId">
    <vt:lpwstr>f1e2d76a-f3ce-4db5-8c17-84f60e0a6ed9</vt:lpwstr>
  </property>
  <property fmtid="{D5CDD505-2E9C-101B-9397-08002B2CF9AE}" pid="9" name="MSIP_Label_022f19bc-c0ef-436a-be43-be1adb274cf3_ContentBits">
    <vt:lpwstr>1</vt:lpwstr>
  </property>
</Properties>
</file>