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C:\Users\2013909\Downloads\"/>
    </mc:Choice>
  </mc:AlternateContent>
  <xr:revisionPtr revIDLastSave="0" documentId="8_{8936A35F-213C-4FD0-88A4-323E2DEA90B2}" xr6:coauthVersionLast="47" xr6:coauthVersionMax="47" xr10:uidLastSave="{00000000-0000-0000-0000-000000000000}"/>
  <bookViews>
    <workbookView xWindow="-110" yWindow="-110" windowWidth="19420" windowHeight="10420" tabRatio="687" xr2:uid="{00000000-000D-0000-FFFF-FFFF00000000}"/>
  </bookViews>
  <sheets>
    <sheet name="Critérios" sheetId="5" r:id="rId1"/>
    <sheet name="Dados" sheetId="6" r:id="rId2"/>
    <sheet name="Propostas" sheetId="1" r:id="rId3"/>
    <sheet name="Qualitativos" sheetId="13" r:id="rId4"/>
    <sheet name="Parâmetros" sheetId="2" r:id="rId5"/>
    <sheet name="Pontuação" sheetId="3" r:id="rId6"/>
    <sheet name="Ordenada" sheetId="4" r:id="rId7"/>
    <sheet name="Posição" sheetId="9" r:id="rId8"/>
  </sheets>
  <externalReferences>
    <externalReference r:id="rId9"/>
  </externalReferences>
  <definedNames>
    <definedName name="_xlnm._FilterDatabase" localSheetId="1" hidden="1">Dados!$A$11:$D$33</definedName>
    <definedName name="ListaAtestados" localSheetId="3">#REF!</definedName>
    <definedName name="ListaAtestados">#REF!</definedName>
    <definedName name="ListaDiagnóstico" localSheetId="3">#REF!</definedName>
    <definedName name="ListaDiagnóstico">#REF!</definedName>
    <definedName name="ListaFinal" localSheetId="3">#REF!</definedName>
    <definedName name="ListaFinal">#REF!</definedName>
    <definedName name="listaModalidade">[1]Auxiliar!$H$3:$H$6</definedName>
    <definedName name="listaOpções1">[1]Auxiliar!$B$3:$B$5</definedName>
    <definedName name="listaOpções2">[1]Auxiliar!$D$3:$D$6</definedName>
    <definedName name="listaOpções3">[1]Auxiliar!$F$3:$F$5</definedName>
    <definedName name="ListaRecurso" localSheetId="3">#REF!</definedName>
    <definedName name="ListaRecurso">#REF!</definedName>
    <definedName name="Teste" localSheetId="3">#REF!</definedName>
    <definedName name="Te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6" i="3" l="1"/>
  <c r="S26" i="3"/>
  <c r="G26" i="3"/>
  <c r="F26" i="3"/>
  <c r="E26" i="3"/>
  <c r="D26" i="3"/>
  <c r="C26" i="3"/>
  <c r="B26" i="3"/>
  <c r="O26" i="2"/>
  <c r="L26" i="2"/>
  <c r="K26" i="2"/>
  <c r="J26" i="2"/>
  <c r="G26" i="2"/>
  <c r="C26" i="2"/>
  <c r="Q26" i="2" s="1"/>
  <c r="B26" i="2"/>
  <c r="T33" i="1"/>
  <c r="U33" i="1"/>
  <c r="W33" i="1"/>
  <c r="D26" i="2" l="1"/>
  <c r="E26" i="2"/>
  <c r="F26" i="2"/>
  <c r="H26" i="2"/>
  <c r="I26" i="2"/>
  <c r="N26" i="2" s="1"/>
  <c r="M26" i="2" l="1"/>
  <c r="P26" i="2" s="1"/>
  <c r="P2" i="13"/>
  <c r="O3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AR6" i="13" l="1"/>
  <c r="AR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5" i="13"/>
  <c r="AS3" i="13" l="1"/>
  <c r="AO3" i="13"/>
  <c r="AK3" i="13"/>
  <c r="AE3" i="13"/>
  <c r="AB3" i="13"/>
  <c r="X3" i="13"/>
  <c r="U3" i="13"/>
  <c r="Q3" i="13"/>
  <c r="K3" i="13"/>
  <c r="C3" i="13"/>
  <c r="H29" i="5" l="1"/>
  <c r="H30" i="5"/>
  <c r="H31" i="5"/>
  <c r="H28" i="5"/>
  <c r="H27" i="5" s="1"/>
  <c r="H25" i="5"/>
  <c r="H26" i="5"/>
  <c r="H24" i="5"/>
  <c r="H20" i="5"/>
  <c r="H21" i="5"/>
  <c r="H22" i="5"/>
  <c r="H19" i="5"/>
  <c r="H18" i="5"/>
  <c r="H17" i="5"/>
  <c r="H16" i="5"/>
  <c r="H13" i="5"/>
  <c r="H12" i="5"/>
  <c r="G35" i="5"/>
  <c r="A5" i="4"/>
  <c r="H11" i="5" l="1"/>
  <c r="H15" i="5"/>
  <c r="AU2" i="13"/>
  <c r="AR2" i="13"/>
  <c r="AN2" i="13"/>
  <c r="AJ2" i="13"/>
  <c r="AD2" i="13"/>
  <c r="AA2" i="13"/>
  <c r="W2" i="13"/>
  <c r="T2" i="13"/>
  <c r="N2" i="13"/>
  <c r="J2" i="13"/>
  <c r="N6" i="13"/>
  <c r="N5" i="13"/>
  <c r="AD5" i="13"/>
  <c r="AU6" i="13"/>
  <c r="AU7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N6" i="13"/>
  <c r="AN7" i="13"/>
  <c r="AN8" i="13"/>
  <c r="AN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A6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6" i="13"/>
  <c r="T7" i="13"/>
  <c r="T8" i="13"/>
  <c r="T9" i="13"/>
  <c r="T10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11" i="13"/>
  <c r="J6" i="13"/>
  <c r="J7" i="13"/>
  <c r="J8" i="13"/>
  <c r="J9" i="13"/>
  <c r="J10" i="13"/>
  <c r="AN5" i="13"/>
  <c r="AU5" i="13"/>
  <c r="AA5" i="13"/>
  <c r="W5" i="13"/>
  <c r="T5" i="13"/>
  <c r="J5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K33" i="1" l="1"/>
  <c r="J26" i="3" s="1"/>
  <c r="N33" i="1"/>
  <c r="M26" i="3" s="1"/>
  <c r="O33" i="1"/>
  <c r="N26" i="3" s="1"/>
  <c r="L33" i="1"/>
  <c r="K26" i="3" s="1"/>
  <c r="P33" i="1"/>
  <c r="O26" i="3" s="1"/>
  <c r="I33" i="1"/>
  <c r="H26" i="3" s="1"/>
  <c r="J33" i="1"/>
  <c r="I26" i="3" s="1"/>
  <c r="S33" i="1"/>
  <c r="R26" i="3" s="1"/>
  <c r="M33" i="1"/>
  <c r="L26" i="3" s="1"/>
  <c r="R33" i="1"/>
  <c r="Q26" i="3" s="1"/>
  <c r="Q33" i="1"/>
  <c r="P26" i="3" s="1"/>
  <c r="S12" i="1"/>
  <c r="S16" i="1"/>
  <c r="S20" i="1"/>
  <c r="S24" i="1"/>
  <c r="S28" i="1"/>
  <c r="S32" i="1"/>
  <c r="R15" i="1"/>
  <c r="R19" i="1"/>
  <c r="R23" i="1"/>
  <c r="R27" i="1"/>
  <c r="R31" i="1"/>
  <c r="Q14" i="1"/>
  <c r="Q18" i="1"/>
  <c r="Q22" i="1"/>
  <c r="Q26" i="1"/>
  <c r="Q30" i="1"/>
  <c r="P13" i="1"/>
  <c r="P17" i="1"/>
  <c r="P21" i="1"/>
  <c r="P25" i="1"/>
  <c r="P29" i="1"/>
  <c r="O12" i="1"/>
  <c r="O16" i="1"/>
  <c r="O20" i="1"/>
  <c r="O24" i="1"/>
  <c r="O28" i="1"/>
  <c r="O32" i="1"/>
  <c r="N15" i="1"/>
  <c r="N19" i="1"/>
  <c r="N23" i="1"/>
  <c r="N27" i="1"/>
  <c r="N31" i="1"/>
  <c r="M14" i="1"/>
  <c r="M18" i="1"/>
  <c r="M22" i="1"/>
  <c r="M26" i="1"/>
  <c r="M30" i="1"/>
  <c r="L13" i="1"/>
  <c r="L17" i="1"/>
  <c r="L21" i="1"/>
  <c r="L25" i="1"/>
  <c r="L29" i="1"/>
  <c r="K12" i="1"/>
  <c r="K16" i="1"/>
  <c r="K20" i="1"/>
  <c r="K24" i="1"/>
  <c r="K28" i="1"/>
  <c r="K32" i="1"/>
  <c r="J15" i="1"/>
  <c r="J19" i="1"/>
  <c r="J23" i="1"/>
  <c r="J27" i="1"/>
  <c r="J31" i="1"/>
  <c r="I14" i="1"/>
  <c r="I18" i="1"/>
  <c r="I22" i="1"/>
  <c r="I26" i="1"/>
  <c r="I30" i="1"/>
  <c r="S13" i="1"/>
  <c r="S17" i="1"/>
  <c r="S21" i="1"/>
  <c r="S25" i="1"/>
  <c r="S29" i="1"/>
  <c r="R12" i="1"/>
  <c r="R16" i="1"/>
  <c r="R20" i="1"/>
  <c r="R24" i="1"/>
  <c r="R28" i="1"/>
  <c r="R32" i="1"/>
  <c r="Q15" i="1"/>
  <c r="Q19" i="1"/>
  <c r="Q23" i="1"/>
  <c r="Q27" i="1"/>
  <c r="Q31" i="1"/>
  <c r="P14" i="1"/>
  <c r="P18" i="1"/>
  <c r="P22" i="1"/>
  <c r="P26" i="1"/>
  <c r="P30" i="1"/>
  <c r="O13" i="1"/>
  <c r="O17" i="1"/>
  <c r="O21" i="1"/>
  <c r="O25" i="1"/>
  <c r="O29" i="1"/>
  <c r="N12" i="1"/>
  <c r="S14" i="1"/>
  <c r="S18" i="1"/>
  <c r="S22" i="1"/>
  <c r="S26" i="1"/>
  <c r="S30" i="1"/>
  <c r="R13" i="1"/>
  <c r="R17" i="1"/>
  <c r="R21" i="1"/>
  <c r="R25" i="1"/>
  <c r="R29" i="1"/>
  <c r="Q12" i="1"/>
  <c r="Q16" i="1"/>
  <c r="Q20" i="1"/>
  <c r="Q24" i="1"/>
  <c r="Q28" i="1"/>
  <c r="Q32" i="1"/>
  <c r="P15" i="1"/>
  <c r="P19" i="1"/>
  <c r="P23" i="1"/>
  <c r="P27" i="1"/>
  <c r="P31" i="1"/>
  <c r="O14" i="1"/>
  <c r="O18" i="1"/>
  <c r="O22" i="1"/>
  <c r="O26" i="1"/>
  <c r="O30" i="1"/>
  <c r="N13" i="1"/>
  <c r="N17" i="1"/>
  <c r="N21" i="1"/>
  <c r="N25" i="1"/>
  <c r="N29" i="1"/>
  <c r="M12" i="1"/>
  <c r="M16" i="1"/>
  <c r="M20" i="1"/>
  <c r="M24" i="1"/>
  <c r="M28" i="1"/>
  <c r="M32" i="1"/>
  <c r="L15" i="1"/>
  <c r="L19" i="1"/>
  <c r="L23" i="1"/>
  <c r="L27" i="1"/>
  <c r="L31" i="1"/>
  <c r="K14" i="1"/>
  <c r="K18" i="1"/>
  <c r="K22" i="1"/>
  <c r="K26" i="1"/>
  <c r="K30" i="1"/>
  <c r="J13" i="1"/>
  <c r="J17" i="1"/>
  <c r="J21" i="1"/>
  <c r="J25" i="1"/>
  <c r="J29" i="1"/>
  <c r="I12" i="1"/>
  <c r="I16" i="1"/>
  <c r="I20" i="1"/>
  <c r="I24" i="1"/>
  <c r="I28" i="1"/>
  <c r="I32" i="1"/>
  <c r="S15" i="1"/>
  <c r="S19" i="1"/>
  <c r="S23" i="1"/>
  <c r="S27" i="1"/>
  <c r="S31" i="1"/>
  <c r="R14" i="1"/>
  <c r="R18" i="1"/>
  <c r="R22" i="1"/>
  <c r="R26" i="1"/>
  <c r="R30" i="1"/>
  <c r="Q13" i="1"/>
  <c r="Q17" i="1"/>
  <c r="Q21" i="1"/>
  <c r="Q25" i="1"/>
  <c r="Q29" i="1"/>
  <c r="P12" i="1"/>
  <c r="P16" i="1"/>
  <c r="P20" i="1"/>
  <c r="P24" i="1"/>
  <c r="P28" i="1"/>
  <c r="P32" i="1"/>
  <c r="O15" i="1"/>
  <c r="O19" i="1"/>
  <c r="I29" i="1"/>
  <c r="I21" i="1"/>
  <c r="I13" i="1"/>
  <c r="J26" i="1"/>
  <c r="J18" i="1"/>
  <c r="K31" i="1"/>
  <c r="K23" i="1"/>
  <c r="K15" i="1"/>
  <c r="L28" i="1"/>
  <c r="L20" i="1"/>
  <c r="L12" i="1"/>
  <c r="M25" i="1"/>
  <c r="M17" i="1"/>
  <c r="N30" i="1"/>
  <c r="N22" i="1"/>
  <c r="N14" i="1"/>
  <c r="I27" i="1"/>
  <c r="I19" i="1"/>
  <c r="J32" i="1"/>
  <c r="J24" i="1"/>
  <c r="J16" i="1"/>
  <c r="K29" i="1"/>
  <c r="K21" i="1"/>
  <c r="K13" i="1"/>
  <c r="L26" i="1"/>
  <c r="L18" i="1"/>
  <c r="M31" i="1"/>
  <c r="M23" i="1"/>
  <c r="M15" i="1"/>
  <c r="N28" i="1"/>
  <c r="N20" i="1"/>
  <c r="O31" i="1"/>
  <c r="I25" i="1"/>
  <c r="I17" i="1"/>
  <c r="J30" i="1"/>
  <c r="J22" i="1"/>
  <c r="J14" i="1"/>
  <c r="K27" i="1"/>
  <c r="K19" i="1"/>
  <c r="L32" i="1"/>
  <c r="L24" i="1"/>
  <c r="L16" i="1"/>
  <c r="M29" i="1"/>
  <c r="M21" i="1"/>
  <c r="M13" i="1"/>
  <c r="N26" i="1"/>
  <c r="N18" i="1"/>
  <c r="O27" i="1"/>
  <c r="I31" i="1"/>
  <c r="I23" i="1"/>
  <c r="I15" i="1"/>
  <c r="J28" i="1"/>
  <c r="J20" i="1"/>
  <c r="J12" i="1"/>
  <c r="K25" i="1"/>
  <c r="K17" i="1"/>
  <c r="L30" i="1"/>
  <c r="L22" i="1"/>
  <c r="L14" i="1"/>
  <c r="M27" i="1"/>
  <c r="M19" i="1"/>
  <c r="N32" i="1"/>
  <c r="N24" i="1"/>
  <c r="N16" i="1"/>
  <c r="O23" i="1"/>
  <c r="Y4" i="4" l="1"/>
  <c r="A23" i="9"/>
  <c r="A24" i="9"/>
  <c r="A24" i="4"/>
  <c r="A25" i="4"/>
  <c r="T32" i="1" l="1"/>
  <c r="T31" i="1" l="1"/>
  <c r="T30" i="1" l="1"/>
  <c r="T29" i="1" l="1"/>
  <c r="T28" i="1" l="1"/>
  <c r="T27" i="1" l="1"/>
  <c r="W27" i="1"/>
  <c r="T26" i="1" l="1"/>
  <c r="T25" i="1" l="1"/>
  <c r="C18" i="2" l="1"/>
  <c r="J18" i="2"/>
  <c r="K18" i="2"/>
  <c r="L18" i="2"/>
  <c r="N18" i="2"/>
  <c r="O18" i="2"/>
  <c r="C19" i="2"/>
  <c r="E19" i="2" s="1"/>
  <c r="J19" i="2"/>
  <c r="K19" i="2"/>
  <c r="L19" i="2"/>
  <c r="N19" i="2"/>
  <c r="O19" i="2"/>
  <c r="C20" i="2"/>
  <c r="J20" i="2"/>
  <c r="K20" i="2"/>
  <c r="L20" i="2"/>
  <c r="N20" i="2"/>
  <c r="O20" i="2"/>
  <c r="C21" i="2"/>
  <c r="J21" i="2"/>
  <c r="K21" i="2"/>
  <c r="L21" i="2"/>
  <c r="N21" i="2"/>
  <c r="O21" i="2"/>
  <c r="C22" i="2"/>
  <c r="J22" i="2"/>
  <c r="K22" i="2"/>
  <c r="L22" i="2"/>
  <c r="N22" i="2"/>
  <c r="O22" i="2"/>
  <c r="C23" i="2"/>
  <c r="E23" i="2" s="1"/>
  <c r="J23" i="2"/>
  <c r="K23" i="2"/>
  <c r="L23" i="2"/>
  <c r="O23" i="2"/>
  <c r="C24" i="2"/>
  <c r="J24" i="2"/>
  <c r="K24" i="2"/>
  <c r="L24" i="2"/>
  <c r="N24" i="2"/>
  <c r="O24" i="2"/>
  <c r="C25" i="2"/>
  <c r="J25" i="2"/>
  <c r="K25" i="2"/>
  <c r="L25" i="2"/>
  <c r="N25" i="2"/>
  <c r="O25" i="2"/>
  <c r="B19" i="2"/>
  <c r="B20" i="2"/>
  <c r="B21" i="2"/>
  <c r="B22" i="2"/>
  <c r="B23" i="2"/>
  <c r="B24" i="2"/>
  <c r="B25" i="2"/>
  <c r="H25" i="2" l="1"/>
  <c r="Q25" i="2"/>
  <c r="I25" i="2"/>
  <c r="M25" i="2" s="1"/>
  <c r="P25" i="2" s="1"/>
  <c r="E21" i="2"/>
  <c r="H21" i="2"/>
  <c r="H24" i="2"/>
  <c r="H19" i="2"/>
  <c r="H23" i="2"/>
  <c r="Q21" i="2"/>
  <c r="I21" i="2"/>
  <c r="M21" i="2" s="1"/>
  <c r="P21" i="2" s="1"/>
  <c r="E25" i="2"/>
  <c r="H20" i="2"/>
  <c r="E24" i="2"/>
  <c r="E20" i="2"/>
  <c r="Q24" i="2"/>
  <c r="I24" i="2"/>
  <c r="M24" i="2" s="1"/>
  <c r="P24" i="2" s="1"/>
  <c r="Q20" i="2"/>
  <c r="I20" i="2"/>
  <c r="M20" i="2" s="1"/>
  <c r="P20" i="2" s="1"/>
  <c r="Q22" i="2"/>
  <c r="I22" i="2"/>
  <c r="M22" i="2" s="1"/>
  <c r="P22" i="2" s="1"/>
  <c r="E22" i="2"/>
  <c r="Q18" i="2"/>
  <c r="I18" i="2"/>
  <c r="M18" i="2" s="1"/>
  <c r="P18" i="2" s="1"/>
  <c r="E18" i="2"/>
  <c r="Q23" i="2"/>
  <c r="I23" i="2"/>
  <c r="M23" i="2" s="1"/>
  <c r="H22" i="2"/>
  <c r="Q19" i="2"/>
  <c r="I19" i="2"/>
  <c r="M19" i="2" s="1"/>
  <c r="P19" i="2" s="1"/>
  <c r="H18" i="2"/>
  <c r="A12" i="9"/>
  <c r="A13" i="9"/>
  <c r="A14" i="9"/>
  <c r="A15" i="9"/>
  <c r="A16" i="9"/>
  <c r="A17" i="9"/>
  <c r="A18" i="9"/>
  <c r="A19" i="9"/>
  <c r="A20" i="9"/>
  <c r="A21" i="9"/>
  <c r="A22" i="9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13" i="2"/>
  <c r="C13" i="2"/>
  <c r="E13" i="2" s="1"/>
  <c r="J13" i="2"/>
  <c r="K13" i="2"/>
  <c r="L13" i="2"/>
  <c r="O13" i="2"/>
  <c r="B14" i="2"/>
  <c r="C14" i="2"/>
  <c r="E14" i="2" s="1"/>
  <c r="J14" i="2"/>
  <c r="K14" i="2"/>
  <c r="L14" i="2"/>
  <c r="O14" i="2"/>
  <c r="B15" i="2"/>
  <c r="C15" i="2"/>
  <c r="E15" i="2" s="1"/>
  <c r="J15" i="2"/>
  <c r="K15" i="2"/>
  <c r="L15" i="2"/>
  <c r="N15" i="2"/>
  <c r="O15" i="2"/>
  <c r="B16" i="2"/>
  <c r="C16" i="2"/>
  <c r="I16" i="2" s="1"/>
  <c r="J16" i="2"/>
  <c r="K16" i="2"/>
  <c r="L16" i="2"/>
  <c r="N16" i="2"/>
  <c r="O16" i="2"/>
  <c r="B17" i="2"/>
  <c r="C17" i="2"/>
  <c r="H17" i="2" s="1"/>
  <c r="J17" i="2"/>
  <c r="K17" i="2"/>
  <c r="L17" i="2"/>
  <c r="N17" i="2"/>
  <c r="O17" i="2"/>
  <c r="B18" i="2"/>
  <c r="N23" i="2" l="1"/>
  <c r="P23" i="2" s="1"/>
  <c r="Q17" i="2"/>
  <c r="E17" i="2"/>
  <c r="I15" i="2"/>
  <c r="M15" i="2" s="1"/>
  <c r="P15" i="2" s="1"/>
  <c r="M16" i="2"/>
  <c r="P16" i="2" s="1"/>
  <c r="I14" i="2"/>
  <c r="N14" i="2" s="1"/>
  <c r="I13" i="2"/>
  <c r="M13" i="2" s="1"/>
  <c r="I17" i="2"/>
  <c r="M17" i="2" s="1"/>
  <c r="P17" i="2" s="1"/>
  <c r="Q16" i="2"/>
  <c r="H16" i="2"/>
  <c r="Q15" i="2"/>
  <c r="H15" i="2"/>
  <c r="H14" i="2"/>
  <c r="H13" i="2"/>
  <c r="E16" i="2"/>
  <c r="Q14" i="2"/>
  <c r="Q13" i="2"/>
  <c r="M14" i="2" l="1"/>
  <c r="P14" i="2" s="1"/>
  <c r="N13" i="2"/>
  <c r="P13" i="2" s="1"/>
  <c r="A11" i="9"/>
  <c r="B12" i="3"/>
  <c r="B12" i="2"/>
  <c r="C12" i="2"/>
  <c r="J12" i="2"/>
  <c r="K12" i="2"/>
  <c r="L12" i="2"/>
  <c r="N12" i="2"/>
  <c r="O12" i="2"/>
  <c r="Q12" i="2" l="1"/>
  <c r="I12" i="2"/>
  <c r="M12" i="2" s="1"/>
  <c r="P12" i="2" s="1"/>
  <c r="E12" i="2"/>
  <c r="H12" i="2"/>
  <c r="A10" i="9" l="1"/>
  <c r="C11" i="2"/>
  <c r="Q11" i="2" s="1"/>
  <c r="J11" i="2"/>
  <c r="K11" i="2"/>
  <c r="L11" i="2"/>
  <c r="O11" i="2"/>
  <c r="I11" i="2" l="1"/>
  <c r="M11" i="2" s="1"/>
  <c r="E11" i="2"/>
  <c r="H11" i="2"/>
  <c r="B11" i="3"/>
  <c r="N11" i="2" l="1"/>
  <c r="P11" i="2" s="1"/>
  <c r="B11" i="2" l="1"/>
  <c r="T17" i="1"/>
  <c r="W17" i="1"/>
  <c r="T16" i="1" l="1"/>
  <c r="W16" i="1"/>
  <c r="T15" i="1" l="1"/>
  <c r="W15" i="1"/>
  <c r="W14" i="1" l="1"/>
  <c r="T14" i="1"/>
  <c r="W13" i="1" l="1"/>
  <c r="T13" i="1"/>
  <c r="W12" i="1" l="1"/>
  <c r="T12" i="1"/>
  <c r="H34" i="5" l="1"/>
  <c r="C6" i="2" l="1"/>
  <c r="C7" i="2"/>
  <c r="C8" i="2"/>
  <c r="C9" i="2"/>
  <c r="C10" i="2"/>
  <c r="C5" i="2"/>
  <c r="D22" i="2" l="1"/>
  <c r="D18" i="2"/>
  <c r="D25" i="2"/>
  <c r="D20" i="2"/>
  <c r="D21" i="2"/>
  <c r="D19" i="2"/>
  <c r="D24" i="2"/>
  <c r="D23" i="2"/>
  <c r="D17" i="2"/>
  <c r="D13" i="2"/>
  <c r="D15" i="2"/>
  <c r="D14" i="2"/>
  <c r="D16" i="2"/>
  <c r="D12" i="2"/>
  <c r="A5" i="9" l="1"/>
  <c r="A6" i="9"/>
  <c r="A7" i="9"/>
  <c r="A8" i="9"/>
  <c r="A9" i="9"/>
  <c r="B6" i="2"/>
  <c r="B7" i="2"/>
  <c r="B8" i="2"/>
  <c r="B9" i="2"/>
  <c r="B10" i="2"/>
  <c r="B5" i="2"/>
  <c r="J6" i="2" l="1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K5" i="2"/>
  <c r="L5" i="2"/>
  <c r="J5" i="2"/>
  <c r="T4" i="3"/>
  <c r="U4" i="3"/>
  <c r="S4" i="3"/>
  <c r="R4" i="3"/>
  <c r="E4" i="3"/>
  <c r="O6" i="2"/>
  <c r="O7" i="2"/>
  <c r="O8" i="2"/>
  <c r="O9" i="2"/>
  <c r="O10" i="2"/>
  <c r="R22" i="3" l="1"/>
  <c r="R13" i="3"/>
  <c r="R14" i="3"/>
  <c r="R15" i="3"/>
  <c r="R16" i="3"/>
  <c r="R17" i="3"/>
  <c r="R18" i="3"/>
  <c r="R19" i="3"/>
  <c r="R20" i="3"/>
  <c r="R21" i="3"/>
  <c r="R23" i="3"/>
  <c r="R24" i="3"/>
  <c r="R25" i="3"/>
  <c r="R12" i="3"/>
  <c r="R11" i="3"/>
  <c r="H33" i="5"/>
  <c r="H32" i="5"/>
  <c r="P4" i="3"/>
  <c r="M4" i="3"/>
  <c r="I4" i="3"/>
  <c r="J4" i="3"/>
  <c r="H14" i="5"/>
  <c r="C4" i="3"/>
  <c r="M13" i="3" l="1"/>
  <c r="M14" i="3"/>
  <c r="M15" i="3"/>
  <c r="M16" i="3"/>
  <c r="M17" i="3"/>
  <c r="M18" i="3"/>
  <c r="M19" i="3"/>
  <c r="M20" i="3"/>
  <c r="M21" i="3"/>
  <c r="M22" i="3"/>
  <c r="M23" i="3"/>
  <c r="M24" i="3"/>
  <c r="M25" i="3"/>
  <c r="M12" i="3"/>
  <c r="M11" i="3"/>
  <c r="P22" i="3"/>
  <c r="P23" i="3"/>
  <c r="P24" i="3"/>
  <c r="P25" i="3"/>
  <c r="P13" i="3"/>
  <c r="P14" i="3"/>
  <c r="P15" i="3"/>
  <c r="P16" i="3"/>
  <c r="P21" i="3"/>
  <c r="P17" i="3"/>
  <c r="P18" i="3"/>
  <c r="P19" i="3"/>
  <c r="P20" i="3"/>
  <c r="P12" i="3"/>
  <c r="P11" i="3"/>
  <c r="J22" i="3"/>
  <c r="J13" i="3"/>
  <c r="J14" i="3"/>
  <c r="J15" i="3"/>
  <c r="J16" i="3"/>
  <c r="J17" i="3"/>
  <c r="J18" i="3"/>
  <c r="J19" i="3"/>
  <c r="J20" i="3"/>
  <c r="J21" i="3"/>
  <c r="J25" i="3"/>
  <c r="J23" i="3"/>
  <c r="J24" i="3"/>
  <c r="J12" i="3"/>
  <c r="J1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12" i="3"/>
  <c r="I11" i="3"/>
  <c r="L4" i="3"/>
  <c r="Q4" i="3"/>
  <c r="O4" i="3"/>
  <c r="G4" i="3"/>
  <c r="F4" i="3"/>
  <c r="K4" i="3"/>
  <c r="H4" i="3"/>
  <c r="N4" i="3" l="1"/>
  <c r="N24" i="3" s="1"/>
  <c r="H23" i="5"/>
  <c r="H35" i="5" s="1"/>
  <c r="O17" i="3"/>
  <c r="O22" i="3"/>
  <c r="O23" i="3"/>
  <c r="O16" i="3"/>
  <c r="O19" i="3"/>
  <c r="O13" i="3"/>
  <c r="O14" i="3"/>
  <c r="O15" i="3"/>
  <c r="O18" i="3"/>
  <c r="O20" i="3"/>
  <c r="O21" i="3"/>
  <c r="O24" i="3"/>
  <c r="O25" i="3"/>
  <c r="O12" i="3"/>
  <c r="O11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12" i="3"/>
  <c r="Q11" i="3"/>
  <c r="L22" i="3"/>
  <c r="L23" i="3"/>
  <c r="L24" i="3"/>
  <c r="L25" i="3"/>
  <c r="L17" i="3"/>
  <c r="L18" i="3"/>
  <c r="L19" i="3"/>
  <c r="L20" i="3"/>
  <c r="L21" i="3"/>
  <c r="L13" i="3"/>
  <c r="L14" i="3"/>
  <c r="L15" i="3"/>
  <c r="L16" i="3"/>
  <c r="L12" i="3"/>
  <c r="L11" i="3"/>
  <c r="H22" i="3"/>
  <c r="H23" i="3"/>
  <c r="H24" i="3"/>
  <c r="H25" i="3"/>
  <c r="H13" i="3"/>
  <c r="H14" i="3"/>
  <c r="H15" i="3"/>
  <c r="H16" i="3"/>
  <c r="H17" i="3"/>
  <c r="H18" i="3"/>
  <c r="H19" i="3"/>
  <c r="H20" i="3"/>
  <c r="H21" i="3"/>
  <c r="H12" i="3"/>
  <c r="H11" i="3"/>
  <c r="K19" i="3"/>
  <c r="K20" i="3"/>
  <c r="K25" i="3"/>
  <c r="K14" i="3"/>
  <c r="K15" i="3"/>
  <c r="K18" i="3"/>
  <c r="K21" i="3"/>
  <c r="K22" i="3"/>
  <c r="K24" i="3"/>
  <c r="K13" i="3"/>
  <c r="K16" i="3"/>
  <c r="K17" i="3"/>
  <c r="K23" i="3"/>
  <c r="K12" i="3"/>
  <c r="K11" i="3"/>
  <c r="D4" i="3"/>
  <c r="N17" i="3" l="1"/>
  <c r="N21" i="3"/>
  <c r="N22" i="3"/>
  <c r="N14" i="3"/>
  <c r="N13" i="3"/>
  <c r="N18" i="3"/>
  <c r="N23" i="3"/>
  <c r="N11" i="3"/>
  <c r="N20" i="3"/>
  <c r="N16" i="3"/>
  <c r="N25" i="3"/>
  <c r="N12" i="3"/>
  <c r="N19" i="3"/>
  <c r="N15" i="3"/>
  <c r="D22" i="3"/>
  <c r="D25" i="3"/>
  <c r="D24" i="3"/>
  <c r="D18" i="3"/>
  <c r="D21" i="3"/>
  <c r="D19" i="3"/>
  <c r="D20" i="3"/>
  <c r="D23" i="3"/>
  <c r="D12" i="3"/>
  <c r="D16" i="3"/>
  <c r="D14" i="3"/>
  <c r="D17" i="3"/>
  <c r="D15" i="3"/>
  <c r="D13" i="3"/>
  <c r="G4" i="4"/>
  <c r="P4" i="4" l="1"/>
  <c r="R4" i="4"/>
  <c r="Q4" i="4"/>
  <c r="R8" i="3" l="1"/>
  <c r="P8" i="3"/>
  <c r="Q8" i="3"/>
  <c r="P5" i="3"/>
  <c r="Q5" i="3"/>
  <c r="R5" i="3"/>
  <c r="P10" i="3"/>
  <c r="Q10" i="3"/>
  <c r="R10" i="3"/>
  <c r="Q6" i="3"/>
  <c r="R6" i="3"/>
  <c r="P6" i="3"/>
  <c r="R7" i="3"/>
  <c r="P7" i="3"/>
  <c r="Q7" i="3"/>
  <c r="R9" i="3"/>
  <c r="P9" i="3"/>
  <c r="Q9" i="3"/>
  <c r="H7" i="2"/>
  <c r="H5" i="2"/>
  <c r="A4" i="9"/>
  <c r="H10" i="2"/>
  <c r="H6" i="2"/>
  <c r="H9" i="2"/>
  <c r="H8" i="2"/>
  <c r="F4" i="2"/>
  <c r="G4" i="2"/>
  <c r="G24" i="2" l="1"/>
  <c r="G24" i="3" s="1"/>
  <c r="G25" i="2"/>
  <c r="G25" i="3" s="1"/>
  <c r="F24" i="2"/>
  <c r="F24" i="3" s="1"/>
  <c r="F25" i="2"/>
  <c r="F25" i="3" s="1"/>
  <c r="F22" i="2"/>
  <c r="F22" i="3" s="1"/>
  <c r="F23" i="2"/>
  <c r="F23" i="3" s="1"/>
  <c r="G22" i="2"/>
  <c r="G22" i="3" s="1"/>
  <c r="G23" i="2"/>
  <c r="G23" i="3" s="1"/>
  <c r="F20" i="2"/>
  <c r="F20" i="3" s="1"/>
  <c r="F21" i="2"/>
  <c r="F21" i="3" s="1"/>
  <c r="G20" i="2"/>
  <c r="G20" i="3" s="1"/>
  <c r="G21" i="2"/>
  <c r="G21" i="3" s="1"/>
  <c r="G18" i="2"/>
  <c r="G18" i="3" s="1"/>
  <c r="G19" i="2"/>
  <c r="G19" i="3" s="1"/>
  <c r="F18" i="2"/>
  <c r="F18" i="3" s="1"/>
  <c r="F19" i="2"/>
  <c r="F19" i="3" s="1"/>
  <c r="G12" i="2"/>
  <c r="G12" i="3" s="1"/>
  <c r="G17" i="2"/>
  <c r="G17" i="3" s="1"/>
  <c r="G13" i="2"/>
  <c r="G13" i="3" s="1"/>
  <c r="G14" i="2"/>
  <c r="G14" i="3" s="1"/>
  <c r="G15" i="2"/>
  <c r="G15" i="3" s="1"/>
  <c r="G16" i="2"/>
  <c r="G16" i="3" s="1"/>
  <c r="F12" i="2"/>
  <c r="F12" i="3" s="1"/>
  <c r="F16" i="2"/>
  <c r="F16" i="3" s="1"/>
  <c r="F14" i="2"/>
  <c r="F14" i="3" s="1"/>
  <c r="F17" i="2"/>
  <c r="F17" i="3" s="1"/>
  <c r="F13" i="2"/>
  <c r="F13" i="3" s="1"/>
  <c r="F15" i="2"/>
  <c r="F15" i="3" s="1"/>
  <c r="D11" i="2"/>
  <c r="D11" i="3" s="1"/>
  <c r="G11" i="2"/>
  <c r="G11" i="3" s="1"/>
  <c r="F11" i="2"/>
  <c r="F11" i="3" s="1"/>
  <c r="D8" i="2"/>
  <c r="D5" i="2"/>
  <c r="D9" i="2"/>
  <c r="D10" i="2"/>
  <c r="D7" i="2"/>
  <c r="D6" i="2"/>
  <c r="C4" i="2"/>
  <c r="K4" i="4"/>
  <c r="E4" i="4"/>
  <c r="D4" i="4"/>
  <c r="I4" i="4"/>
  <c r="U4" i="4"/>
  <c r="J4" i="4"/>
  <c r="H4" i="4"/>
  <c r="L4" i="4"/>
  <c r="F4" i="4"/>
  <c r="T4" i="4"/>
  <c r="N4" i="4"/>
  <c r="M4" i="4"/>
  <c r="O4" i="4"/>
  <c r="S4" i="4"/>
  <c r="C19" i="3" l="1"/>
  <c r="C21" i="3"/>
  <c r="C23" i="3"/>
  <c r="C25" i="3"/>
  <c r="C18" i="3"/>
  <c r="C20" i="3"/>
  <c r="C22" i="3"/>
  <c r="C24" i="3"/>
  <c r="C16" i="3"/>
  <c r="C17" i="3"/>
  <c r="C13" i="3"/>
  <c r="C15" i="3"/>
  <c r="C14" i="3"/>
  <c r="C11" i="3"/>
  <c r="C12" i="3"/>
  <c r="D6" i="3"/>
  <c r="D5" i="3"/>
  <c r="D9" i="3"/>
  <c r="D10" i="3"/>
  <c r="D7" i="3"/>
  <c r="D8" i="3"/>
  <c r="H4" i="2"/>
  <c r="Q6" i="2"/>
  <c r="Q7" i="2"/>
  <c r="Q8" i="2"/>
  <c r="Q9" i="2"/>
  <c r="Q10" i="2"/>
  <c r="Q5" i="2"/>
  <c r="B6" i="3"/>
  <c r="B7" i="3"/>
  <c r="B8" i="3"/>
  <c r="B9" i="3"/>
  <c r="B10" i="3"/>
  <c r="B5" i="3"/>
  <c r="S25" i="3" l="1"/>
  <c r="S5" i="3"/>
  <c r="S23" i="3"/>
  <c r="S24" i="3"/>
  <c r="S20" i="3"/>
  <c r="S21" i="3"/>
  <c r="S22" i="3"/>
  <c r="S19" i="3"/>
  <c r="S18" i="3"/>
  <c r="S16" i="3"/>
  <c r="S17" i="3"/>
  <c r="S13" i="3"/>
  <c r="S15" i="3"/>
  <c r="S14" i="3"/>
  <c r="S11" i="3"/>
  <c r="S12" i="3"/>
  <c r="S8" i="3"/>
  <c r="S6" i="3"/>
  <c r="S7" i="3"/>
  <c r="S10" i="3"/>
  <c r="S9" i="3"/>
  <c r="I5" i="3"/>
  <c r="H5" i="3"/>
  <c r="O5" i="3"/>
  <c r="N5" i="3"/>
  <c r="J5" i="3"/>
  <c r="K5" i="3"/>
  <c r="L5" i="3"/>
  <c r="M5" i="3"/>
  <c r="I7" i="3"/>
  <c r="M7" i="3"/>
  <c r="K7" i="3"/>
  <c r="L7" i="3"/>
  <c r="H7" i="3"/>
  <c r="J7" i="3"/>
  <c r="O7" i="3"/>
  <c r="N7" i="3"/>
  <c r="M9" i="3"/>
  <c r="I9" i="3"/>
  <c r="H9" i="3"/>
  <c r="O9" i="3"/>
  <c r="L9" i="3"/>
  <c r="N9" i="3"/>
  <c r="K9" i="3"/>
  <c r="J9" i="3"/>
  <c r="M8" i="3"/>
  <c r="L8" i="3"/>
  <c r="J8" i="3"/>
  <c r="O8" i="3"/>
  <c r="I8" i="3"/>
  <c r="N8" i="3"/>
  <c r="K8" i="3"/>
  <c r="H8" i="3"/>
  <c r="N10" i="3"/>
  <c r="O10" i="3"/>
  <c r="I10" i="3"/>
  <c r="M10" i="3"/>
  <c r="L10" i="3"/>
  <c r="K10" i="3"/>
  <c r="H10" i="3"/>
  <c r="J10" i="3"/>
  <c r="I6" i="3"/>
  <c r="K6" i="3"/>
  <c r="J6" i="3"/>
  <c r="N6" i="3"/>
  <c r="M6" i="3"/>
  <c r="H6" i="3"/>
  <c r="O6" i="3"/>
  <c r="L6" i="3"/>
  <c r="I7" i="2"/>
  <c r="E8" i="2"/>
  <c r="M7" i="2" l="1"/>
  <c r="N7" i="2"/>
  <c r="F8" i="2"/>
  <c r="F8" i="3" s="1"/>
  <c r="E6" i="2"/>
  <c r="F9" i="2"/>
  <c r="F9" i="3" s="1"/>
  <c r="G5" i="2"/>
  <c r="G5" i="3" s="1"/>
  <c r="I5" i="2"/>
  <c r="M5" i="2" s="1"/>
  <c r="G9" i="2"/>
  <c r="G9" i="3" s="1"/>
  <c r="F10" i="2"/>
  <c r="F10" i="3" s="1"/>
  <c r="E5" i="2"/>
  <c r="F6" i="2"/>
  <c r="F6" i="3" s="1"/>
  <c r="E9" i="2"/>
  <c r="I9" i="2"/>
  <c r="G10" i="2"/>
  <c r="G10" i="3" s="1"/>
  <c r="G6" i="2"/>
  <c r="G6" i="3" s="1"/>
  <c r="I10" i="2"/>
  <c r="G8" i="2"/>
  <c r="G8" i="3" s="1"/>
  <c r="I6" i="2"/>
  <c r="M6" i="2" s="1"/>
  <c r="E10" i="2"/>
  <c r="I8" i="2"/>
  <c r="M8" i="2" s="1"/>
  <c r="F5" i="2"/>
  <c r="F5" i="3" s="1"/>
  <c r="F7" i="2"/>
  <c r="F7" i="3" s="1"/>
  <c r="E7" i="2"/>
  <c r="G7" i="2"/>
  <c r="G7" i="3" s="1"/>
  <c r="P7" i="2" l="1"/>
  <c r="M10" i="2"/>
  <c r="N10" i="2"/>
  <c r="M9" i="2"/>
  <c r="N9" i="2"/>
  <c r="O5" i="2"/>
  <c r="N8" i="2"/>
  <c r="N5" i="2"/>
  <c r="N6" i="2"/>
  <c r="E4" i="2"/>
  <c r="E25" i="3" s="1"/>
  <c r="Q4" i="2"/>
  <c r="U19" i="3" l="1"/>
  <c r="U21" i="3"/>
  <c r="U23" i="3"/>
  <c r="U25" i="3"/>
  <c r="U22" i="3"/>
  <c r="U18" i="3"/>
  <c r="U20" i="3"/>
  <c r="U24" i="3"/>
  <c r="E23" i="3"/>
  <c r="E24" i="3"/>
  <c r="E20" i="3"/>
  <c r="E21" i="3"/>
  <c r="E22" i="3"/>
  <c r="E19" i="3"/>
  <c r="E18" i="3"/>
  <c r="U16" i="3"/>
  <c r="U13" i="3"/>
  <c r="U15" i="3"/>
  <c r="U17" i="3"/>
  <c r="U14" i="3"/>
  <c r="E14" i="3"/>
  <c r="E16" i="3"/>
  <c r="E13" i="3"/>
  <c r="E15" i="3"/>
  <c r="E17" i="3"/>
  <c r="U11" i="3"/>
  <c r="U12" i="3"/>
  <c r="E11" i="3"/>
  <c r="E12" i="3"/>
  <c r="P10" i="2"/>
  <c r="P9" i="2"/>
  <c r="P5" i="2"/>
  <c r="P8" i="2"/>
  <c r="P6" i="2"/>
  <c r="E9" i="3"/>
  <c r="U10" i="3"/>
  <c r="U6" i="3"/>
  <c r="U5" i="3"/>
  <c r="E7" i="3"/>
  <c r="E5" i="3"/>
  <c r="E10" i="3"/>
  <c r="E8" i="3"/>
  <c r="E6" i="3"/>
  <c r="U7" i="3"/>
  <c r="U9" i="3"/>
  <c r="U8" i="3"/>
  <c r="P4" i="2" l="1"/>
  <c r="T26" i="3" s="1"/>
  <c r="V26" i="3" s="1"/>
  <c r="W26" i="3" s="1"/>
  <c r="A26" i="3" s="1"/>
  <c r="T20" i="3" l="1"/>
  <c r="V20" i="3" s="1"/>
  <c r="T22" i="3"/>
  <c r="V22" i="3" s="1"/>
  <c r="T24" i="3"/>
  <c r="V24" i="3" s="1"/>
  <c r="T19" i="3"/>
  <c r="V19" i="3" s="1"/>
  <c r="T21" i="3"/>
  <c r="V21" i="3" s="1"/>
  <c r="T23" i="3"/>
  <c r="V23" i="3" s="1"/>
  <c r="T25" i="3"/>
  <c r="V25" i="3" s="1"/>
  <c r="T18" i="3"/>
  <c r="V18" i="3" s="1"/>
  <c r="T13" i="3"/>
  <c r="V13" i="3" s="1"/>
  <c r="T14" i="3"/>
  <c r="V14" i="3" s="1"/>
  <c r="T15" i="3"/>
  <c r="V15" i="3" s="1"/>
  <c r="T17" i="3"/>
  <c r="V17" i="3" s="1"/>
  <c r="T16" i="3"/>
  <c r="V16" i="3" s="1"/>
  <c r="T11" i="3"/>
  <c r="V11" i="3" s="1"/>
  <c r="T12" i="3"/>
  <c r="V12" i="3" s="1"/>
  <c r="T5" i="3"/>
  <c r="T6" i="3"/>
  <c r="T9" i="3"/>
  <c r="T10" i="3"/>
  <c r="T7" i="3"/>
  <c r="T8" i="3"/>
  <c r="C4" i="4" l="1"/>
  <c r="V4" i="3"/>
  <c r="C9" i="3"/>
  <c r="V9" i="3" s="1"/>
  <c r="C10" i="3"/>
  <c r="V10" i="3" s="1"/>
  <c r="C8" i="3"/>
  <c r="V8" i="3" s="1"/>
  <c r="C7" i="3"/>
  <c r="V7" i="3" s="1"/>
  <c r="C5" i="3"/>
  <c r="V5" i="3" s="1"/>
  <c r="C6" i="3"/>
  <c r="V6" i="3" s="1"/>
  <c r="W25" i="3" l="1"/>
  <c r="A25" i="3" s="1"/>
  <c r="W24" i="3"/>
  <c r="A24" i="3" s="1"/>
  <c r="W23" i="3"/>
  <c r="A23" i="3" s="1"/>
  <c r="W22" i="3"/>
  <c r="A22" i="3" s="1"/>
  <c r="W21" i="3"/>
  <c r="A21" i="3" s="1"/>
  <c r="W20" i="3"/>
  <c r="A20" i="3" s="1"/>
  <c r="W19" i="3"/>
  <c r="A19" i="3" s="1"/>
  <c r="W18" i="3"/>
  <c r="A18" i="3" s="1"/>
  <c r="W16" i="3"/>
  <c r="A16" i="3" s="1"/>
  <c r="W13" i="3"/>
  <c r="A13" i="3" s="1"/>
  <c r="W14" i="3"/>
  <c r="A14" i="3" s="1"/>
  <c r="W15" i="3"/>
  <c r="A15" i="3" s="1"/>
  <c r="W17" i="3"/>
  <c r="A17" i="3" s="1"/>
  <c r="W12" i="3"/>
  <c r="A12" i="3" s="1"/>
  <c r="W11" i="3"/>
  <c r="A11" i="3" s="1"/>
  <c r="W5" i="3"/>
  <c r="W6" i="3"/>
  <c r="W7" i="3"/>
  <c r="W10" i="3"/>
  <c r="W8" i="3"/>
  <c r="W9" i="3"/>
  <c r="V4" i="4"/>
  <c r="A5" i="3" l="1"/>
  <c r="A8" i="3"/>
  <c r="A9" i="3"/>
  <c r="A6" i="3"/>
  <c r="A10" i="3"/>
  <c r="A7" i="3"/>
  <c r="L12" i="4" l="1"/>
  <c r="B24" i="9"/>
  <c r="Q25" i="4"/>
  <c r="C25" i="4"/>
  <c r="I25" i="4"/>
  <c r="I24" i="4"/>
  <c r="Q24" i="4"/>
  <c r="E25" i="4"/>
  <c r="B24" i="4"/>
  <c r="X24" i="4" s="1"/>
  <c r="E24" i="4"/>
  <c r="O24" i="4"/>
  <c r="P25" i="4"/>
  <c r="S25" i="4"/>
  <c r="N24" i="4"/>
  <c r="L24" i="4"/>
  <c r="R24" i="4"/>
  <c r="H24" i="4"/>
  <c r="L25" i="4"/>
  <c r="J25" i="4"/>
  <c r="R25" i="4"/>
  <c r="N25" i="4"/>
  <c r="U25" i="4"/>
  <c r="P24" i="4"/>
  <c r="M24" i="4"/>
  <c r="D24" i="4"/>
  <c r="G24" i="4"/>
  <c r="H25" i="4"/>
  <c r="K25" i="4"/>
  <c r="T24" i="4"/>
  <c r="B25" i="4"/>
  <c r="X25" i="4" s="1"/>
  <c r="F25" i="4"/>
  <c r="M25" i="4"/>
  <c r="J24" i="4"/>
  <c r="F24" i="4"/>
  <c r="S24" i="4"/>
  <c r="T25" i="4"/>
  <c r="D25" i="4"/>
  <c r="G25" i="4"/>
  <c r="C24" i="4"/>
  <c r="B23" i="9"/>
  <c r="U24" i="4"/>
  <c r="K24" i="4"/>
  <c r="O25" i="4"/>
  <c r="M23" i="4"/>
  <c r="U23" i="4"/>
  <c r="B23" i="4"/>
  <c r="X23" i="4" s="1"/>
  <c r="J23" i="4"/>
  <c r="R23" i="4"/>
  <c r="I23" i="4"/>
  <c r="Q23" i="4"/>
  <c r="F23" i="4"/>
  <c r="N23" i="4"/>
  <c r="B22" i="9"/>
  <c r="K23" i="4"/>
  <c r="T23" i="4"/>
  <c r="D23" i="4"/>
  <c r="G23" i="4"/>
  <c r="S23" i="4"/>
  <c r="C23" i="4"/>
  <c r="O23" i="4"/>
  <c r="E23" i="4"/>
  <c r="H23" i="4"/>
  <c r="P23" i="4"/>
  <c r="L23" i="4"/>
  <c r="D21" i="4"/>
  <c r="H21" i="4"/>
  <c r="L21" i="4"/>
  <c r="P21" i="4"/>
  <c r="T21" i="4"/>
  <c r="B21" i="9"/>
  <c r="G21" i="4"/>
  <c r="O21" i="4"/>
  <c r="B22" i="4"/>
  <c r="X22" i="4" s="1"/>
  <c r="J22" i="4"/>
  <c r="R22" i="4"/>
  <c r="E21" i="4"/>
  <c r="I21" i="4"/>
  <c r="M21" i="4"/>
  <c r="Q21" i="4"/>
  <c r="U21" i="4"/>
  <c r="D22" i="4"/>
  <c r="H22" i="4"/>
  <c r="L22" i="4"/>
  <c r="P22" i="4"/>
  <c r="T22" i="4"/>
  <c r="K21" i="4"/>
  <c r="F22" i="4"/>
  <c r="F21" i="4"/>
  <c r="J21" i="4"/>
  <c r="N21" i="4"/>
  <c r="R21" i="4"/>
  <c r="E22" i="4"/>
  <c r="I22" i="4"/>
  <c r="M22" i="4"/>
  <c r="Q22" i="4"/>
  <c r="U22" i="4"/>
  <c r="C21" i="4"/>
  <c r="S21" i="4"/>
  <c r="N22" i="4"/>
  <c r="B20" i="9"/>
  <c r="G22" i="4"/>
  <c r="S22" i="4"/>
  <c r="C22" i="4"/>
  <c r="B21" i="4"/>
  <c r="X21" i="4" s="1"/>
  <c r="O22" i="4"/>
  <c r="K22" i="4"/>
  <c r="D20" i="4"/>
  <c r="H20" i="4"/>
  <c r="L20" i="4"/>
  <c r="P20" i="4"/>
  <c r="T20" i="4"/>
  <c r="G20" i="4"/>
  <c r="O20" i="4"/>
  <c r="E20" i="4"/>
  <c r="I20" i="4"/>
  <c r="M20" i="4"/>
  <c r="Q20" i="4"/>
  <c r="U20" i="4"/>
  <c r="C20" i="4"/>
  <c r="S20" i="4"/>
  <c r="F20" i="4"/>
  <c r="J20" i="4"/>
  <c r="N20" i="4"/>
  <c r="R20" i="4"/>
  <c r="K20" i="4"/>
  <c r="B19" i="9"/>
  <c r="B20" i="4"/>
  <c r="X20" i="4" s="1"/>
  <c r="H18" i="4"/>
  <c r="L18" i="4"/>
  <c r="P18" i="4"/>
  <c r="T18" i="4"/>
  <c r="E18" i="4"/>
  <c r="I18" i="4"/>
  <c r="M18" i="4"/>
  <c r="Q18" i="4"/>
  <c r="U18" i="4"/>
  <c r="B17" i="9"/>
  <c r="B18" i="4"/>
  <c r="X18" i="4" s="1"/>
  <c r="F18" i="4"/>
  <c r="J18" i="4"/>
  <c r="N18" i="4"/>
  <c r="R18" i="4"/>
  <c r="E19" i="4"/>
  <c r="I19" i="4"/>
  <c r="M19" i="4"/>
  <c r="Q19" i="4"/>
  <c r="U19" i="4"/>
  <c r="C18" i="4"/>
  <c r="G18" i="4"/>
  <c r="K18" i="4"/>
  <c r="O18" i="4"/>
  <c r="S18" i="4"/>
  <c r="B19" i="4"/>
  <c r="X19" i="4" s="1"/>
  <c r="F19" i="4"/>
  <c r="J19" i="4"/>
  <c r="N19" i="4"/>
  <c r="R19" i="4"/>
  <c r="D18" i="4"/>
  <c r="L19" i="4"/>
  <c r="S19" i="4"/>
  <c r="B18" i="9"/>
  <c r="H19" i="4"/>
  <c r="O19" i="4"/>
  <c r="T19" i="4"/>
  <c r="D19" i="4"/>
  <c r="K19" i="4"/>
  <c r="C19" i="4"/>
  <c r="P19" i="4"/>
  <c r="G19" i="4"/>
  <c r="D6" i="4"/>
  <c r="H6" i="4"/>
  <c r="L6" i="4"/>
  <c r="P6" i="4"/>
  <c r="T6" i="4"/>
  <c r="I7" i="4"/>
  <c r="C6" i="4"/>
  <c r="I6" i="4"/>
  <c r="N6" i="4"/>
  <c r="S6" i="4"/>
  <c r="Q7" i="4"/>
  <c r="E6" i="4"/>
  <c r="J6" i="4"/>
  <c r="O6" i="4"/>
  <c r="U6" i="4"/>
  <c r="I12" i="4"/>
  <c r="B12" i="9"/>
  <c r="F6" i="4"/>
  <c r="K6" i="4"/>
  <c r="Q6" i="4"/>
  <c r="B14" i="9"/>
  <c r="B6" i="4"/>
  <c r="X6" i="4" s="1"/>
  <c r="G6" i="4"/>
  <c r="M6" i="4"/>
  <c r="R6" i="4"/>
  <c r="U11" i="4"/>
  <c r="Q14" i="4"/>
  <c r="R10" i="4"/>
  <c r="Q15" i="4"/>
  <c r="I13" i="4"/>
  <c r="R12" i="4"/>
  <c r="R13" i="4"/>
  <c r="I14" i="4"/>
  <c r="N10" i="4"/>
  <c r="E14" i="4"/>
  <c r="Q9" i="4"/>
  <c r="G14" i="4"/>
  <c r="L10" i="4"/>
  <c r="I16" i="4"/>
  <c r="E16" i="4"/>
  <c r="F14" i="4"/>
  <c r="S10" i="4"/>
  <c r="B10" i="4"/>
  <c r="X10" i="4" s="1"/>
  <c r="Q16" i="4"/>
  <c r="M16" i="4"/>
  <c r="L14" i="4"/>
  <c r="Q10" i="4"/>
  <c r="E9" i="4"/>
  <c r="K16" i="4"/>
  <c r="P12" i="4"/>
  <c r="S8" i="4"/>
  <c r="C8" i="4"/>
  <c r="R16" i="4"/>
  <c r="B16" i="4"/>
  <c r="X16" i="4" s="1"/>
  <c r="F12" i="4"/>
  <c r="R8" i="4"/>
  <c r="B8" i="4"/>
  <c r="X8" i="4" s="1"/>
  <c r="T16" i="4"/>
  <c r="U12" i="4"/>
  <c r="R9" i="4"/>
  <c r="L8" i="4"/>
  <c r="K15" i="4"/>
  <c r="H15" i="4"/>
  <c r="C7" i="4"/>
  <c r="S7" i="4"/>
  <c r="P7" i="4"/>
  <c r="C13" i="4"/>
  <c r="S13" i="4"/>
  <c r="P13" i="4"/>
  <c r="N13" i="4"/>
  <c r="K11" i="4"/>
  <c r="H11" i="4"/>
  <c r="U7" i="4"/>
  <c r="G17" i="4"/>
  <c r="D17" i="4"/>
  <c r="U13" i="4"/>
  <c r="F11" i="4"/>
  <c r="O9" i="4"/>
  <c r="L9" i="4"/>
  <c r="J7" i="4"/>
  <c r="B17" i="4"/>
  <c r="X17" i="4" s="1"/>
  <c r="B15" i="9"/>
  <c r="D8" i="4"/>
  <c r="B11" i="4"/>
  <c r="X11" i="4" s="1"/>
  <c r="J11" i="4"/>
  <c r="R11" i="4"/>
  <c r="Q13" i="4"/>
  <c r="U9" i="4"/>
  <c r="B13" i="4"/>
  <c r="X13" i="4" s="1"/>
  <c r="S14" i="4"/>
  <c r="C14" i="4"/>
  <c r="H10" i="4"/>
  <c r="U17" i="4"/>
  <c r="R14" i="4"/>
  <c r="B14" i="4"/>
  <c r="X14" i="4" s="1"/>
  <c r="O10" i="4"/>
  <c r="M9" i="4"/>
  <c r="Q8" i="4"/>
  <c r="I15" i="4"/>
  <c r="H14" i="4"/>
  <c r="M10" i="4"/>
  <c r="M8" i="4"/>
  <c r="G16" i="4"/>
  <c r="K12" i="4"/>
  <c r="O8" i="4"/>
  <c r="Q17" i="4"/>
  <c r="N16" i="4"/>
  <c r="S12" i="4"/>
  <c r="B12" i="4"/>
  <c r="X12" i="4" s="1"/>
  <c r="N8" i="4"/>
  <c r="T17" i="4"/>
  <c r="P16" i="4"/>
  <c r="Q12" i="4"/>
  <c r="J9" i="4"/>
  <c r="H8" i="4"/>
  <c r="O15" i="4"/>
  <c r="L15" i="4"/>
  <c r="G7" i="4"/>
  <c r="D7" i="4"/>
  <c r="T7" i="4"/>
  <c r="G13" i="4"/>
  <c r="D13" i="4"/>
  <c r="T13" i="4"/>
  <c r="U15" i="4"/>
  <c r="F13" i="4"/>
  <c r="O11" i="4"/>
  <c r="L11" i="4"/>
  <c r="M7" i="4"/>
  <c r="K17" i="4"/>
  <c r="R15" i="4"/>
  <c r="M13" i="4"/>
  <c r="C9" i="4"/>
  <c r="S9" i="4"/>
  <c r="P9" i="4"/>
  <c r="B7" i="4"/>
  <c r="X7" i="4" s="1"/>
  <c r="C10" i="4"/>
  <c r="B9" i="4"/>
  <c r="X9" i="4" s="1"/>
  <c r="D12" i="4"/>
  <c r="B16" i="9"/>
  <c r="R17" i="4"/>
  <c r="I11" i="4"/>
  <c r="Q11" i="4"/>
  <c r="H17" i="4"/>
  <c r="M11" i="4"/>
  <c r="O14" i="4"/>
  <c r="T10" i="4"/>
  <c r="D10" i="4"/>
  <c r="J17" i="4"/>
  <c r="N14" i="4"/>
  <c r="J13" i="4"/>
  <c r="K10" i="4"/>
  <c r="U8" i="4"/>
  <c r="P17" i="4"/>
  <c r="T14" i="4"/>
  <c r="E12" i="4"/>
  <c r="I10" i="4"/>
  <c r="S16" i="4"/>
  <c r="C16" i="4"/>
  <c r="G12" i="4"/>
  <c r="K8" i="4"/>
  <c r="L17" i="4"/>
  <c r="J16" i="4"/>
  <c r="O12" i="4"/>
  <c r="N9" i="4"/>
  <c r="J8" i="4"/>
  <c r="N17" i="4"/>
  <c r="L16" i="4"/>
  <c r="M12" i="4"/>
  <c r="T8" i="4"/>
  <c r="C15" i="4"/>
  <c r="S15" i="4"/>
  <c r="P15" i="4"/>
  <c r="K7" i="4"/>
  <c r="H7" i="4"/>
  <c r="N15" i="4"/>
  <c r="K13" i="4"/>
  <c r="H13" i="4"/>
  <c r="N7" i="4"/>
  <c r="M15" i="4"/>
  <c r="C11" i="4"/>
  <c r="S11" i="4"/>
  <c r="P11" i="4"/>
  <c r="E7" i="4"/>
  <c r="O17" i="4"/>
  <c r="J15" i="4"/>
  <c r="E13" i="4"/>
  <c r="G9" i="4"/>
  <c r="D9" i="4"/>
  <c r="T9" i="4"/>
  <c r="D14" i="4"/>
  <c r="F10" i="4"/>
  <c r="I9" i="4"/>
  <c r="D16" i="4"/>
  <c r="B13" i="9"/>
  <c r="M14" i="4"/>
  <c r="M17" i="4"/>
  <c r="E11" i="4"/>
  <c r="U14" i="4"/>
  <c r="J10" i="4"/>
  <c r="K14" i="4"/>
  <c r="P10" i="4"/>
  <c r="I8" i="4"/>
  <c r="U16" i="4"/>
  <c r="J14" i="4"/>
  <c r="N12" i="4"/>
  <c r="G10" i="4"/>
  <c r="E8" i="4"/>
  <c r="E17" i="4"/>
  <c r="P14" i="4"/>
  <c r="U10" i="4"/>
  <c r="E10" i="4"/>
  <c r="O16" i="4"/>
  <c r="T12" i="4"/>
  <c r="C12" i="4"/>
  <c r="G8" i="4"/>
  <c r="F17" i="4"/>
  <c r="F16" i="4"/>
  <c r="J12" i="4"/>
  <c r="F9" i="4"/>
  <c r="F8" i="4"/>
  <c r="I17" i="4"/>
  <c r="H16" i="4"/>
  <c r="H12" i="4"/>
  <c r="P8" i="4"/>
  <c r="G15" i="4"/>
  <c r="D15" i="4"/>
  <c r="T15" i="4"/>
  <c r="O7" i="4"/>
  <c r="L7" i="4"/>
  <c r="F15" i="4"/>
  <c r="O13" i="4"/>
  <c r="L13" i="4"/>
  <c r="F7" i="4"/>
  <c r="E15" i="4"/>
  <c r="G11" i="4"/>
  <c r="D11" i="4"/>
  <c r="T11" i="4"/>
  <c r="C17" i="4"/>
  <c r="S17" i="4"/>
  <c r="B15" i="4"/>
  <c r="X15" i="4" s="1"/>
  <c r="N11" i="4"/>
  <c r="K9" i="4"/>
  <c r="H9" i="4"/>
  <c r="R7" i="4"/>
  <c r="B11" i="9"/>
  <c r="B10" i="9"/>
  <c r="G5" i="4"/>
  <c r="Q5" i="4"/>
  <c r="P5" i="4"/>
  <c r="R5" i="4"/>
  <c r="B5" i="4"/>
  <c r="X5" i="4" s="1"/>
  <c r="Y5" i="4" s="1"/>
  <c r="B7" i="9"/>
  <c r="I5" i="4"/>
  <c r="U5" i="4"/>
  <c r="B5" i="9"/>
  <c r="S5" i="4"/>
  <c r="H5" i="4"/>
  <c r="B8" i="9"/>
  <c r="K5" i="4"/>
  <c r="N5" i="4"/>
  <c r="E5" i="4"/>
  <c r="M5" i="4"/>
  <c r="B9" i="9"/>
  <c r="D5" i="4"/>
  <c r="B4" i="9"/>
  <c r="O5" i="4"/>
  <c r="C5" i="4"/>
  <c r="J5" i="4"/>
  <c r="B6" i="9"/>
  <c r="T5" i="4"/>
  <c r="F5" i="4"/>
  <c r="L5" i="4"/>
  <c r="V24" i="4" l="1"/>
  <c r="V25" i="4"/>
  <c r="T23" i="9"/>
  <c r="T24" i="9"/>
  <c r="M24" i="9"/>
  <c r="M23" i="9"/>
  <c r="H24" i="9"/>
  <c r="H23" i="9"/>
  <c r="P23" i="9"/>
  <c r="P24" i="9"/>
  <c r="J24" i="9"/>
  <c r="J23" i="9"/>
  <c r="O24" i="9"/>
  <c r="R23" i="9"/>
  <c r="O23" i="9"/>
  <c r="R24" i="9"/>
  <c r="U24" i="9"/>
  <c r="U23" i="9"/>
  <c r="E24" i="9"/>
  <c r="E23" i="9"/>
  <c r="I23" i="9"/>
  <c r="I24" i="9"/>
  <c r="L23" i="9"/>
  <c r="L24" i="9"/>
  <c r="D23" i="9"/>
  <c r="D24" i="9"/>
  <c r="N23" i="9"/>
  <c r="N24" i="9"/>
  <c r="S23" i="9"/>
  <c r="S24" i="9"/>
  <c r="Q23" i="9"/>
  <c r="Q24" i="9"/>
  <c r="F23" i="9"/>
  <c r="F24" i="9"/>
  <c r="C24" i="9"/>
  <c r="C23" i="9"/>
  <c r="K24" i="9"/>
  <c r="K23" i="9"/>
  <c r="G24" i="9"/>
  <c r="G23" i="9"/>
  <c r="K18" i="9"/>
  <c r="H18" i="9"/>
  <c r="F18" i="9"/>
  <c r="K17" i="9"/>
  <c r="Q18" i="9"/>
  <c r="M17" i="9"/>
  <c r="P17" i="9"/>
  <c r="J19" i="9"/>
  <c r="U19" i="9"/>
  <c r="P19" i="9"/>
  <c r="K21" i="9"/>
  <c r="S20" i="9"/>
  <c r="M21" i="9"/>
  <c r="K20" i="9"/>
  <c r="H21" i="9"/>
  <c r="J21" i="9"/>
  <c r="P18" i="9"/>
  <c r="T18" i="9"/>
  <c r="S18" i="9"/>
  <c r="N18" i="9"/>
  <c r="S17" i="9"/>
  <c r="I18" i="9"/>
  <c r="J17" i="9"/>
  <c r="U17" i="9"/>
  <c r="E17" i="9"/>
  <c r="H17" i="9"/>
  <c r="S19" i="9"/>
  <c r="M19" i="9"/>
  <c r="G19" i="9"/>
  <c r="H19" i="9"/>
  <c r="U21" i="9"/>
  <c r="E21" i="9"/>
  <c r="F20" i="9"/>
  <c r="P21" i="9"/>
  <c r="U20" i="9"/>
  <c r="E20" i="9"/>
  <c r="P20" i="9"/>
  <c r="L22" i="9"/>
  <c r="D22" i="9"/>
  <c r="N22" i="9"/>
  <c r="M22" i="9"/>
  <c r="L18" i="9"/>
  <c r="J18" i="9"/>
  <c r="U18" i="9"/>
  <c r="E18" i="9"/>
  <c r="F17" i="9"/>
  <c r="Q17" i="9"/>
  <c r="T17" i="9"/>
  <c r="N19" i="9"/>
  <c r="I19" i="9"/>
  <c r="T19" i="9"/>
  <c r="D19" i="9"/>
  <c r="N21" i="9"/>
  <c r="Q21" i="9"/>
  <c r="F21" i="9"/>
  <c r="L21" i="9"/>
  <c r="Q20" i="9"/>
  <c r="G20" i="9"/>
  <c r="L20" i="9"/>
  <c r="P22" i="9"/>
  <c r="T22" i="9"/>
  <c r="F22" i="9"/>
  <c r="J22" i="9"/>
  <c r="D17" i="9"/>
  <c r="E19" i="9"/>
  <c r="S21" i="9"/>
  <c r="N20" i="9"/>
  <c r="M20" i="9"/>
  <c r="H20" i="9"/>
  <c r="H22" i="9"/>
  <c r="S22" i="9"/>
  <c r="K22" i="9"/>
  <c r="Q22" i="9"/>
  <c r="G18" i="9"/>
  <c r="D18" i="9"/>
  <c r="G17" i="9"/>
  <c r="M18" i="9"/>
  <c r="N17" i="9"/>
  <c r="I17" i="9"/>
  <c r="L17" i="9"/>
  <c r="K19" i="9"/>
  <c r="F19" i="9"/>
  <c r="Q19" i="9"/>
  <c r="L19" i="9"/>
  <c r="G21" i="9"/>
  <c r="I21" i="9"/>
  <c r="J20" i="9"/>
  <c r="T21" i="9"/>
  <c r="D21" i="9"/>
  <c r="I20" i="9"/>
  <c r="T20" i="9"/>
  <c r="D20" i="9"/>
  <c r="E22" i="9"/>
  <c r="G22" i="9"/>
  <c r="I22" i="9"/>
  <c r="U22" i="9"/>
  <c r="C22" i="9"/>
  <c r="V23" i="4"/>
  <c r="O22" i="9"/>
  <c r="R22" i="9"/>
  <c r="C21" i="9"/>
  <c r="V22" i="4"/>
  <c r="R20" i="9"/>
  <c r="O20" i="9"/>
  <c r="O21" i="9"/>
  <c r="R21" i="9"/>
  <c r="C20" i="9"/>
  <c r="V21" i="4"/>
  <c r="R19" i="9"/>
  <c r="O19" i="9"/>
  <c r="C19" i="9"/>
  <c r="V20" i="4"/>
  <c r="C18" i="9"/>
  <c r="V19" i="4"/>
  <c r="R18" i="9"/>
  <c r="O18" i="9"/>
  <c r="O17" i="9"/>
  <c r="R17" i="9"/>
  <c r="C17" i="9"/>
  <c r="V18" i="4"/>
  <c r="Y6" i="4"/>
  <c r="Z6" i="4" s="1"/>
  <c r="G14" i="9"/>
  <c r="D15" i="9"/>
  <c r="J14" i="9"/>
  <c r="U16" i="9"/>
  <c r="I16" i="9"/>
  <c r="F15" i="9"/>
  <c r="P13" i="9"/>
  <c r="H12" i="9"/>
  <c r="L16" i="9"/>
  <c r="S15" i="9"/>
  <c r="P16" i="9"/>
  <c r="N13" i="9"/>
  <c r="R13" i="9"/>
  <c r="O13" i="9"/>
  <c r="K16" i="9"/>
  <c r="F12" i="9"/>
  <c r="G12" i="9"/>
  <c r="L14" i="9"/>
  <c r="P12" i="9"/>
  <c r="K15" i="9"/>
  <c r="M15" i="9"/>
  <c r="F13" i="9"/>
  <c r="G13" i="9"/>
  <c r="I13" i="9"/>
  <c r="Q14" i="9"/>
  <c r="L12" i="9"/>
  <c r="F16" i="9"/>
  <c r="R15" i="9"/>
  <c r="O15" i="9"/>
  <c r="E16" i="9"/>
  <c r="J13" i="9"/>
  <c r="K13" i="9"/>
  <c r="M16" i="9"/>
  <c r="R16" i="9"/>
  <c r="O16" i="9"/>
  <c r="V11" i="4"/>
  <c r="K12" i="9"/>
  <c r="P14" i="9"/>
  <c r="J16" i="9"/>
  <c r="V10" i="4"/>
  <c r="V9" i="4"/>
  <c r="U14" i="9"/>
  <c r="O14" i="9"/>
  <c r="R14" i="9"/>
  <c r="P15" i="9"/>
  <c r="H13" i="9"/>
  <c r="U12" i="9"/>
  <c r="S12" i="9"/>
  <c r="V7" i="4"/>
  <c r="V8" i="4"/>
  <c r="Q15" i="9"/>
  <c r="E15" i="9"/>
  <c r="S16" i="9"/>
  <c r="R12" i="9"/>
  <c r="O12" i="9"/>
  <c r="T14" i="9"/>
  <c r="U15" i="9"/>
  <c r="M13" i="9"/>
  <c r="M14" i="9"/>
  <c r="N14" i="9"/>
  <c r="S14" i="9"/>
  <c r="L15" i="9"/>
  <c r="H16" i="9"/>
  <c r="M12" i="9"/>
  <c r="T12" i="9"/>
  <c r="T16" i="9"/>
  <c r="N15" i="9"/>
  <c r="G15" i="9"/>
  <c r="I14" i="9"/>
  <c r="C13" i="9"/>
  <c r="V14" i="4"/>
  <c r="Q12" i="9"/>
  <c r="D16" i="9"/>
  <c r="C12" i="9"/>
  <c r="V13" i="4"/>
  <c r="H14" i="9"/>
  <c r="I15" i="9"/>
  <c r="E13" i="9"/>
  <c r="Q13" i="9"/>
  <c r="V6" i="4"/>
  <c r="C16" i="9"/>
  <c r="V17" i="4"/>
  <c r="E14" i="9"/>
  <c r="F14" i="9"/>
  <c r="D14" i="9"/>
  <c r="H15" i="9"/>
  <c r="V12" i="4"/>
  <c r="U13" i="9"/>
  <c r="D13" i="9"/>
  <c r="E12" i="9"/>
  <c r="C14" i="9"/>
  <c r="V15" i="4"/>
  <c r="N16" i="9"/>
  <c r="J15" i="9"/>
  <c r="C15" i="9"/>
  <c r="V16" i="4"/>
  <c r="T13" i="9"/>
  <c r="J12" i="9"/>
  <c r="D12" i="9"/>
  <c r="Q16" i="9"/>
  <c r="S13" i="9"/>
  <c r="G16" i="9"/>
  <c r="N12" i="9"/>
  <c r="K14" i="9"/>
  <c r="T15" i="9"/>
  <c r="L13" i="9"/>
  <c r="I12" i="9"/>
  <c r="H11" i="9"/>
  <c r="F11" i="9"/>
  <c r="G11" i="9"/>
  <c r="E11" i="9"/>
  <c r="D11" i="9"/>
  <c r="T11" i="9"/>
  <c r="N11" i="9"/>
  <c r="J11" i="9"/>
  <c r="K11" i="9"/>
  <c r="M11" i="9"/>
  <c r="C11" i="9"/>
  <c r="I11" i="9"/>
  <c r="S11" i="9"/>
  <c r="U11" i="9"/>
  <c r="P11" i="9"/>
  <c r="L11" i="9"/>
  <c r="R11" i="9"/>
  <c r="O11" i="9"/>
  <c r="Q11" i="9"/>
  <c r="M10" i="9"/>
  <c r="T10" i="9"/>
  <c r="E10" i="9"/>
  <c r="S10" i="9"/>
  <c r="J10" i="9"/>
  <c r="F10" i="9"/>
  <c r="N10" i="9"/>
  <c r="P10" i="9"/>
  <c r="Q10" i="9"/>
  <c r="R10" i="9"/>
  <c r="O10" i="9"/>
  <c r="G10" i="9"/>
  <c r="K10" i="9"/>
  <c r="I10" i="9"/>
  <c r="U10" i="9"/>
  <c r="L10" i="9"/>
  <c r="D10" i="9"/>
  <c r="H10" i="9"/>
  <c r="C10" i="9"/>
  <c r="C6" i="9"/>
  <c r="C4" i="9"/>
  <c r="C7" i="9"/>
  <c r="C8" i="9"/>
  <c r="C9" i="9"/>
  <c r="C5" i="9"/>
  <c r="O5" i="9"/>
  <c r="O8" i="9"/>
  <c r="O7" i="9"/>
  <c r="O9" i="9"/>
  <c r="O4" i="9"/>
  <c r="O6" i="9"/>
  <c r="P8" i="9"/>
  <c r="Q8" i="9"/>
  <c r="Q9" i="9"/>
  <c r="P7" i="9"/>
  <c r="Q6" i="9"/>
  <c r="G7" i="9"/>
  <c r="G9" i="9"/>
  <c r="P9" i="9"/>
  <c r="Q5" i="9"/>
  <c r="P6" i="9"/>
  <c r="G4" i="9"/>
  <c r="G6" i="9"/>
  <c r="G5" i="9"/>
  <c r="G8" i="9"/>
  <c r="P5" i="9"/>
  <c r="Q7" i="9"/>
  <c r="P4" i="9"/>
  <c r="Q4" i="9"/>
  <c r="K8" i="9"/>
  <c r="S8" i="9"/>
  <c r="L4" i="9"/>
  <c r="L9" i="9"/>
  <c r="I6" i="9"/>
  <c r="E8" i="9"/>
  <c r="J5" i="9"/>
  <c r="F4" i="9"/>
  <c r="L7" i="9"/>
  <c r="N6" i="9"/>
  <c r="D6" i="9"/>
  <c r="S5" i="9"/>
  <c r="E6" i="9"/>
  <c r="T4" i="9"/>
  <c r="D7" i="9"/>
  <c r="K5" i="9"/>
  <c r="M7" i="9"/>
  <c r="U7" i="9"/>
  <c r="D4" i="9"/>
  <c r="H8" i="9"/>
  <c r="M4" i="9"/>
  <c r="N5" i="9"/>
  <c r="R6" i="9"/>
  <c r="S7" i="9"/>
  <c r="T8" i="9"/>
  <c r="E4" i="9"/>
  <c r="F5" i="9"/>
  <c r="H6" i="9"/>
  <c r="I7" i="9"/>
  <c r="J8" i="9"/>
  <c r="K4" i="9"/>
  <c r="L5" i="9"/>
  <c r="M6" i="9"/>
  <c r="N7" i="9"/>
  <c r="R8" i="9"/>
  <c r="S4" i="9"/>
  <c r="T5" i="9"/>
  <c r="U6" i="9"/>
  <c r="D8" i="9"/>
  <c r="U4" i="9"/>
  <c r="I4" i="9"/>
  <c r="K6" i="9"/>
  <c r="U9" i="9"/>
  <c r="T9" i="9"/>
  <c r="E9" i="9"/>
  <c r="M5" i="9"/>
  <c r="F9" i="9"/>
  <c r="R9" i="9"/>
  <c r="S9" i="9"/>
  <c r="N9" i="9"/>
  <c r="J9" i="9"/>
  <c r="F7" i="9"/>
  <c r="E5" i="9"/>
  <c r="H7" i="9"/>
  <c r="R5" i="9"/>
  <c r="F8" i="9"/>
  <c r="U5" i="9"/>
  <c r="J4" i="9"/>
  <c r="L6" i="9"/>
  <c r="N8" i="9"/>
  <c r="R4" i="9"/>
  <c r="T6" i="9"/>
  <c r="F6" i="9"/>
  <c r="I8" i="9"/>
  <c r="N4" i="9"/>
  <c r="S6" i="9"/>
  <c r="T7" i="9"/>
  <c r="U8" i="9"/>
  <c r="D5" i="9"/>
  <c r="E7" i="9"/>
  <c r="H4" i="9"/>
  <c r="I5" i="9"/>
  <c r="J6" i="9"/>
  <c r="K7" i="9"/>
  <c r="L8" i="9"/>
  <c r="J7" i="9"/>
  <c r="M8" i="9"/>
  <c r="H5" i="9"/>
  <c r="R7" i="9"/>
  <c r="K9" i="9"/>
  <c r="D9" i="9"/>
  <c r="M9" i="9"/>
  <c r="I9" i="9"/>
  <c r="H9" i="9"/>
  <c r="V5" i="4"/>
  <c r="V24" i="9" l="1"/>
  <c r="V23" i="9"/>
  <c r="W24" i="4"/>
  <c r="W25" i="4"/>
  <c r="W23" i="4"/>
  <c r="W18" i="4"/>
  <c r="W20" i="4"/>
  <c r="W21" i="4"/>
  <c r="W19" i="4"/>
  <c r="W22" i="4"/>
  <c r="V22" i="9"/>
  <c r="V19" i="9"/>
  <c r="V20" i="9"/>
  <c r="V21" i="9"/>
  <c r="V18" i="9"/>
  <c r="V17" i="9"/>
  <c r="Y7" i="4"/>
  <c r="Y8" i="4" s="1"/>
  <c r="V25" i="9"/>
  <c r="V16" i="9"/>
  <c r="V15" i="9"/>
  <c r="V14" i="9"/>
  <c r="V12" i="9"/>
  <c r="V13" i="9"/>
  <c r="W10" i="4"/>
  <c r="W6" i="4"/>
  <c r="W12" i="4"/>
  <c r="W14" i="4"/>
  <c r="W8" i="4"/>
  <c r="W16" i="4"/>
  <c r="W9" i="4"/>
  <c r="W13" i="4"/>
  <c r="W17" i="4"/>
  <c r="W11" i="4"/>
  <c r="W7" i="4"/>
  <c r="W15" i="4"/>
  <c r="V11" i="9"/>
  <c r="V10" i="9"/>
  <c r="V6" i="9"/>
  <c r="V5" i="9"/>
  <c r="W5" i="4"/>
  <c r="V4" i="9"/>
  <c r="V9" i="9"/>
  <c r="V8" i="9"/>
  <c r="V7" i="9"/>
  <c r="Z5" i="4"/>
  <c r="W23" i="9" l="1"/>
  <c r="W24" i="9"/>
  <c r="W19" i="9"/>
  <c r="W17" i="9"/>
  <c r="W20" i="9"/>
  <c r="W21" i="9"/>
  <c r="W18" i="9"/>
  <c r="W22" i="9"/>
  <c r="Z7" i="4"/>
  <c r="W16" i="9"/>
  <c r="W14" i="9"/>
  <c r="W12" i="9"/>
  <c r="W13" i="9"/>
  <c r="W25" i="9"/>
  <c r="W15" i="9"/>
  <c r="Z8" i="4"/>
  <c r="Y9" i="4"/>
  <c r="W11" i="9"/>
  <c r="W10" i="9"/>
  <c r="W8" i="9"/>
  <c r="W6" i="9"/>
  <c r="W9" i="9"/>
  <c r="W4" i="9"/>
  <c r="W5" i="9"/>
  <c r="W7" i="9"/>
  <c r="Y10" i="4" l="1"/>
  <c r="Z9" i="4"/>
  <c r="Z10" i="4" l="1"/>
  <c r="Y11" i="4"/>
  <c r="Y12" i="4" l="1"/>
  <c r="Z11" i="4"/>
  <c r="Z12" i="4" l="1"/>
  <c r="Y13" i="4"/>
  <c r="Y14" i="4" l="1"/>
  <c r="Z13" i="4"/>
  <c r="Z14" i="4" l="1"/>
  <c r="Y15" i="4"/>
  <c r="Y16" i="4" l="1"/>
  <c r="Z15" i="4"/>
  <c r="Z16" i="4" l="1"/>
  <c r="Y17" i="4"/>
  <c r="Z17" i="4" l="1"/>
  <c r="Y18" i="4"/>
  <c r="Z18" i="4" l="1"/>
  <c r="Y19" i="4"/>
  <c r="Z19" i="4" l="1"/>
  <c r="Y20" i="4"/>
  <c r="Z20" i="4" l="1"/>
  <c r="Y21" i="4"/>
  <c r="Z21" i="4" l="1"/>
  <c r="Y22" i="4"/>
  <c r="Z22" i="4" l="1"/>
  <c r="Y23" i="4"/>
  <c r="Z23" i="4" l="1"/>
  <c r="Y24" i="4"/>
  <c r="Z24" i="4" l="1"/>
  <c r="Y25" i="4"/>
  <c r="Z25" i="4" l="1"/>
  <c r="AA4" i="4"/>
  <c r="AA6" i="4" s="1"/>
</calcChain>
</file>

<file path=xl/sharedStrings.xml><?xml version="1.0" encoding="utf-8"?>
<sst xmlns="http://schemas.openxmlformats.org/spreadsheetml/2006/main" count="1079" uniqueCount="178">
  <si>
    <t>Proposta</t>
  </si>
  <si>
    <t>A</t>
  </si>
  <si>
    <t>B</t>
  </si>
  <si>
    <t>C</t>
  </si>
  <si>
    <t>D</t>
  </si>
  <si>
    <t>E</t>
  </si>
  <si>
    <t>F</t>
  </si>
  <si>
    <t>G</t>
  </si>
  <si>
    <t>mil R$</t>
  </si>
  <si>
    <t>Bases da proposta</t>
  </si>
  <si>
    <t>Uso final 1</t>
  </si>
  <si>
    <t>Uso final 2</t>
  </si>
  <si>
    <t>Uso final 3</t>
  </si>
  <si>
    <t>Cálculo dos parâmetros</t>
  </si>
  <si>
    <t>RCB</t>
  </si>
  <si>
    <t>Posição RCB</t>
  </si>
  <si>
    <t>IK</t>
  </si>
  <si>
    <t>IE</t>
  </si>
  <si>
    <t>ID</t>
  </si>
  <si>
    <t>PI</t>
  </si>
  <si>
    <t>Média uso final</t>
  </si>
  <si>
    <t>PT</t>
  </si>
  <si>
    <t>Min/máx</t>
  </si>
  <si>
    <t>DUF1</t>
  </si>
  <si>
    <t>DUF2</t>
  </si>
  <si>
    <t>DUF3</t>
  </si>
  <si>
    <t>DUF</t>
  </si>
  <si>
    <t>A1</t>
  </si>
  <si>
    <t>A2</t>
  </si>
  <si>
    <t>E1</t>
  </si>
  <si>
    <t>E2</t>
  </si>
  <si>
    <t>E3</t>
  </si>
  <si>
    <t>F1</t>
  </si>
  <si>
    <t>F2</t>
  </si>
  <si>
    <t>F3</t>
  </si>
  <si>
    <t>H</t>
  </si>
  <si>
    <t>I</t>
  </si>
  <si>
    <t>Relação custo-benefício</t>
  </si>
  <si>
    <t>Relação custo-benefício proporcional</t>
  </si>
  <si>
    <t>Relação custo-benefício ordenada</t>
  </si>
  <si>
    <t>Peso do investimento em equipamentos no custo total</t>
  </si>
  <si>
    <t>Qualidade global da apresentação do projeto</t>
  </si>
  <si>
    <t xml:space="preserve"> Consistência do cronograma apresentado</t>
  </si>
  <si>
    <t>Capacidade para superar barreiras de mercado e efeito multiplicador</t>
  </si>
  <si>
    <t>Eficácia na quebra de barreiras de mercado</t>
  </si>
  <si>
    <t>Induz comportamentos de uso eficiente da energia</t>
  </si>
  <si>
    <t>Destina-se a segmentos com barreiras mais relevantes</t>
  </si>
  <si>
    <t>Experiência em projetos semelhantes</t>
  </si>
  <si>
    <t>Contrapartida</t>
  </si>
  <si>
    <t>Máximo</t>
  </si>
  <si>
    <t>Total</t>
  </si>
  <si>
    <t>Estratégia de M&amp;V</t>
  </si>
  <si>
    <t>Ordem</t>
  </si>
  <si>
    <t>Aprovada</t>
  </si>
  <si>
    <t>S/N</t>
  </si>
  <si>
    <t>Equipamentos</t>
  </si>
  <si>
    <t>Economia de  energia</t>
  </si>
  <si>
    <t>Redução de demanda na ponta</t>
  </si>
  <si>
    <t>Ações educacionais</t>
  </si>
  <si>
    <t>RCB proporcional</t>
  </si>
  <si>
    <t>RCB ordenada</t>
  </si>
  <si>
    <t>Tipologia</t>
  </si>
  <si>
    <t>Consistência do cronograma apresentado</t>
  </si>
  <si>
    <t>Iluminação</t>
  </si>
  <si>
    <t>Sistemas motrizes</t>
  </si>
  <si>
    <t>Pontuação</t>
  </si>
  <si>
    <t>Mínimo</t>
  </si>
  <si>
    <t>Distribuidora</t>
  </si>
  <si>
    <t>Refrigeração</t>
  </si>
  <si>
    <t>Equip. hospitalar</t>
  </si>
  <si>
    <t>Sopradores de Ar</t>
  </si>
  <si>
    <t>Ar Comprimido</t>
  </si>
  <si>
    <t>Aquecimento Solar</t>
  </si>
  <si>
    <t>Bombas</t>
  </si>
  <si>
    <t>Bombas de vácuo</t>
  </si>
  <si>
    <t>Fontes Incentivadas</t>
  </si>
  <si>
    <t>Outros</t>
  </si>
  <si>
    <t>Uso final</t>
  </si>
  <si>
    <t>Pontos</t>
  </si>
  <si>
    <t>Cond. Ambiental</t>
  </si>
  <si>
    <t>Experiência nos usos finais propostos</t>
  </si>
  <si>
    <t>Experiência no PEE</t>
  </si>
  <si>
    <t>Certificação CMVP da EVO</t>
  </si>
  <si>
    <t>Outras certificações pertinentes</t>
  </si>
  <si>
    <t>Qualidade do projeto</t>
  </si>
  <si>
    <t>Qualidade global do projeto</t>
  </si>
  <si>
    <t>D1</t>
  </si>
  <si>
    <t>D2</t>
  </si>
  <si>
    <t>D3</t>
  </si>
  <si>
    <t>D4</t>
  </si>
  <si>
    <t>F4</t>
  </si>
  <si>
    <t>Ações educacionais, divulgação e gestão</t>
  </si>
  <si>
    <t>C1</t>
  </si>
  <si>
    <t>Impacto direto na economia de energia</t>
  </si>
  <si>
    <t>Impacto direto na redução de demanda na ponta</t>
  </si>
  <si>
    <t>Impacto direto dos benefícios energéticos</t>
  </si>
  <si>
    <t>C2</t>
  </si>
  <si>
    <t>Diversidade e priorização de usos finais</t>
  </si>
  <si>
    <t>DADOS DE CHAMADAS PÚBLICAS DE PROJETO</t>
  </si>
  <si>
    <t>Chamada Pública</t>
  </si>
  <si>
    <t>Escolhido</t>
  </si>
  <si>
    <t>Investimento total
[mil R$]</t>
  </si>
  <si>
    <t>Investimento PEE
[mil R$]</t>
  </si>
  <si>
    <t>Benefício PEE
[mil R$]</t>
  </si>
  <si>
    <t>Investimento em equipamentos
[mil R$]</t>
  </si>
  <si>
    <t>Energia economizada
[MWh/ano]</t>
  </si>
  <si>
    <t>Redução na ponta
[kW]</t>
  </si>
  <si>
    <t>Qualidade global
[%]</t>
  </si>
  <si>
    <t>Bases da proposta
[%]</t>
  </si>
  <si>
    <t>Cronograma
[%]</t>
  </si>
  <si>
    <t>Estratégia de M&amp;V
[%]</t>
  </si>
  <si>
    <t>Quebra de barreiras
[%]</t>
  </si>
  <si>
    <t>Induz comportamentos eficientes
[%]</t>
  </si>
  <si>
    <t>Segmentos com barreiras
[%]</t>
  </si>
  <si>
    <t>Experiência nos usos finais propostos
[%]</t>
  </si>
  <si>
    <t>Experiência no PEE
[%]</t>
  </si>
  <si>
    <t>Certificação CMVP da EVO
[%]</t>
  </si>
  <si>
    <t>Outras certificações pertinentes
[%]</t>
  </si>
  <si>
    <t>Uso final 1
[mil R$]</t>
  </si>
  <si>
    <t>Uso final 2
[mil R$]</t>
  </si>
  <si>
    <t>Uso final 3
[mil R$]</t>
  </si>
  <si>
    <t>Investimento em SGE
[mil R$]</t>
  </si>
  <si>
    <t>Ordem
UF1</t>
  </si>
  <si>
    <t>Ordem
UF2</t>
  </si>
  <si>
    <t>Ordem
UF3</t>
  </si>
  <si>
    <t>Critério</t>
  </si>
  <si>
    <t>Descrição</t>
  </si>
  <si>
    <t>Subcritério</t>
  </si>
  <si>
    <t>DADOS QUALITATIVOS DAS PROPOSTAS</t>
  </si>
  <si>
    <t>DADOS QUANTITATIVOS DAS PROPOSTAS</t>
  </si>
  <si>
    <t>Investimento disponibilizado
[mil R$]</t>
  </si>
  <si>
    <t>Investimento aprovado
[mil R$]</t>
  </si>
  <si>
    <t>Invest. Restante
[mil R$]</t>
  </si>
  <si>
    <t>Custo PEE
[mil R$]</t>
  </si>
  <si>
    <t>Motores elétricos</t>
  </si>
  <si>
    <t>sim</t>
  </si>
  <si>
    <t>TOTAL</t>
  </si>
  <si>
    <t>não</t>
  </si>
  <si>
    <t>2. Apresentou fotos dos sistemas para exemplificação</t>
  </si>
  <si>
    <t>3. Apresentou informações adicionais importantes (ex: localização da planta solar, da entidade, simulação de calculos outros)</t>
  </si>
  <si>
    <t>1.Apresenta tecnologia pouco explorada no PEE ( exemplo: tubo vácuo, geração com biomassa etc...)</t>
  </si>
  <si>
    <t>2. Utiliza-se algum equipamento desenvolvido pelo PED</t>
  </si>
  <si>
    <t>1. Apresentou alguma automação no processo ou sistema de controle</t>
  </si>
  <si>
    <t>2. Apresentou algum sistema de gestão para acompanhar as economias do projeto</t>
  </si>
  <si>
    <t>1. Apresentou um atestado de distribuidora (que não a CPFL)</t>
  </si>
  <si>
    <t>2. Apresentou mais de um atestado de distribuidora (que não a CPFL)</t>
  </si>
  <si>
    <t>3. Já é fornecedor do Grupo CPFL</t>
  </si>
  <si>
    <t>1. Apresentou certificado EVO CMVP</t>
  </si>
  <si>
    <t>1.Apresenta proposta em segmento não explorado no PEE ( exemplo: cerâmica)</t>
  </si>
  <si>
    <t>2.Apresenta proposta em segmento pouco explorado no PEE ( exemplo: tração elétrica)</t>
  </si>
  <si>
    <t>4. Apresentou a demanda e energia média das 12 contas de energia juntamente com o gráfico e fez análise das informações</t>
  </si>
  <si>
    <t>2. O levantamento de dados foi bem detalhado e feito por UC e ação de EE</t>
  </si>
  <si>
    <t>1. Todos os parametros técnicos forão plenamente justificados (seja por catalogo, memórias de calculo ou descritivos)</t>
  </si>
  <si>
    <t>7. Projeto aprovado sem recurso</t>
  </si>
  <si>
    <t>Investimento em treinamento e MKT
[mil R$]</t>
  </si>
  <si>
    <t>B/G</t>
  </si>
  <si>
    <t>G/I</t>
  </si>
  <si>
    <t>1.As informações estão organizadas de forma clara (objetivo, ações de EE, situação antes e proposta de implementação)</t>
  </si>
  <si>
    <t>1. Apresentou mais de um certificação pertinente (ABESCO, ISO 50.001 etc..)</t>
  </si>
  <si>
    <t>2. Apresentou um certificação pertinente (ABESCO, ISO 50.001 etc..)</t>
  </si>
  <si>
    <t>Sistemas de iluminação</t>
  </si>
  <si>
    <t>Sistemas de Cond. Ambiental</t>
  </si>
  <si>
    <t>3. Apresentou dados de medição de linha de base das ações propostas</t>
  </si>
  <si>
    <t xml:space="preserve">1. Apresentou atestado das ações de eficiência energética nos usos finais envolvidos na proposta de projeto dentro do PEE </t>
  </si>
  <si>
    <t>2. Apresentou um atestado de pessoa jurídica de direito público das ações de eficiência energética nos usos finais envolvidos na proposta de projeto</t>
  </si>
  <si>
    <t xml:space="preserve">3. Apresentou mais de um atestado de pessoa jurídica de direito público das ações de eficiência energética nos usos finais envolvidos na proposta de projeto </t>
  </si>
  <si>
    <t>4. Apresentou um atestado de pessoa jurídica de direito privado das ações de eficiência energética nos usos finais envolvidos na proposta de projeto</t>
  </si>
  <si>
    <t>5. Apresentou premiação de algum projeto em fórum de conservação de energia pertinente</t>
  </si>
  <si>
    <t>5. O balanço energético é minucioso e aderente à fatura de energia</t>
  </si>
  <si>
    <t>6. Apresentou as informações exatamente conforme os modelos disponibilizados pela CPFL, quando aplicável</t>
  </si>
  <si>
    <t>1.As informações estão organizadas de forma bem clara (todos os itens mencionados no diagnóstico)</t>
  </si>
  <si>
    <t>2. A metodologia escolhida e definição das amostras está bem justificada</t>
  </si>
  <si>
    <t>3. Optou por medição de todos os parâmetros (chave e não chave), mesmo que não exigido (se aplicável)</t>
  </si>
  <si>
    <t>3. Instituiu alguma comissão de conservação de energia</t>
  </si>
  <si>
    <t>2. Apresentou apenas um certificado EVO CMVP, sendo este IT</t>
  </si>
  <si>
    <t>3. Apresentou mais de um certificado EVO CMVP (IT ou não)</t>
  </si>
  <si>
    <t>1.Esta de acordo com o edital</t>
  </si>
  <si>
    <t>Certificação CMVP / PMVA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</si>
</sst>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wrapText="1"/>
    </xf>
    <xf numFmtId="165" fontId="0" fillId="2" borderId="0" xfId="0" applyNumberFormat="1" applyFill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/>
    </xf>
    <xf numFmtId="165" fontId="0" fillId="0" borderId="0" xfId="0" applyNumberForma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7" fillId="4" borderId="2" xfId="0" applyFont="1" applyFill="1" applyBorder="1"/>
    <xf numFmtId="9" fontId="7" fillId="4" borderId="0" xfId="0" applyNumberFormat="1" applyFont="1" applyFill="1" applyAlignment="1">
      <alignment horizontal="center"/>
    </xf>
    <xf numFmtId="9" fontId="7" fillId="4" borderId="0" xfId="1" applyFont="1" applyFill="1" applyAlignment="1">
      <alignment horizontal="center"/>
    </xf>
    <xf numFmtId="0" fontId="5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2" fillId="6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10" borderId="0" xfId="0" applyNumberFormat="1" applyFill="1" applyAlignment="1">
      <alignment horizontal="center" vertical="center"/>
    </xf>
    <xf numFmtId="9" fontId="0" fillId="6" borderId="0" xfId="1" applyFont="1" applyFill="1" applyAlignment="1">
      <alignment horizontal="center" vertical="center"/>
    </xf>
    <xf numFmtId="9" fontId="0" fillId="11" borderId="0" xfId="1" applyFont="1" applyFill="1" applyAlignment="1">
      <alignment horizontal="center" vertical="center"/>
    </xf>
    <xf numFmtId="9" fontId="0" fillId="12" borderId="0" xfId="1" applyFont="1" applyFill="1" applyAlignment="1">
      <alignment horizontal="center" vertical="center"/>
    </xf>
    <xf numFmtId="9" fontId="0" fillId="13" borderId="0" xfId="1" applyFont="1" applyFill="1" applyAlignment="1">
      <alignment horizontal="center" vertical="center"/>
    </xf>
    <xf numFmtId="9" fontId="0" fillId="14" borderId="0" xfId="1" applyFont="1" applyFill="1" applyAlignment="1">
      <alignment horizontal="center" vertical="center"/>
    </xf>
    <xf numFmtId="9" fontId="0" fillId="5" borderId="0" xfId="1" applyFont="1" applyFill="1" applyAlignment="1">
      <alignment horizontal="center" vertical="center"/>
    </xf>
    <xf numFmtId="9" fontId="0" fillId="15" borderId="0" xfId="1" applyFont="1" applyFill="1" applyAlignment="1">
      <alignment horizontal="center" vertical="center"/>
    </xf>
    <xf numFmtId="9" fontId="0" fillId="18" borderId="0" xfId="1" applyFont="1" applyFill="1" applyAlignment="1">
      <alignment horizontal="center" vertical="center"/>
    </xf>
    <xf numFmtId="9" fontId="0" fillId="7" borderId="0" xfId="1" applyFont="1" applyFill="1" applyAlignment="1">
      <alignment horizontal="center" vertical="center"/>
    </xf>
    <xf numFmtId="9" fontId="0" fillId="3" borderId="0" xfId="1" applyFont="1" applyFill="1" applyAlignment="1">
      <alignment horizontal="center" vertical="center"/>
    </xf>
    <xf numFmtId="9" fontId="0" fillId="19" borderId="0" xfId="1" applyFont="1" applyFill="1" applyAlignment="1">
      <alignment horizontal="center" vertical="center"/>
    </xf>
    <xf numFmtId="165" fontId="1" fillId="10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10" fontId="0" fillId="4" borderId="0" xfId="1" applyNumberFormat="1" applyFont="1" applyFill="1" applyAlignment="1">
      <alignment horizontal="center" vertical="center"/>
    </xf>
    <xf numFmtId="10" fontId="0" fillId="10" borderId="0" xfId="1" applyNumberFormat="1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textRotation="90" wrapText="1"/>
    </xf>
    <xf numFmtId="0" fontId="12" fillId="11" borderId="2" xfId="0" applyFont="1" applyFill="1" applyBorder="1" applyAlignment="1">
      <alignment horizontal="center" vertical="center" textRotation="90" wrapText="1"/>
    </xf>
    <xf numFmtId="0" fontId="12" fillId="12" borderId="2" xfId="0" applyFont="1" applyFill="1" applyBorder="1" applyAlignment="1">
      <alignment horizontal="center" vertical="center" textRotation="90" wrapText="1"/>
    </xf>
    <xf numFmtId="0" fontId="12" fillId="13" borderId="2" xfId="0" applyFont="1" applyFill="1" applyBorder="1" applyAlignment="1">
      <alignment horizontal="center" vertical="center" textRotation="90" wrapText="1"/>
    </xf>
    <xf numFmtId="0" fontId="12" fillId="5" borderId="2" xfId="0" applyFont="1" applyFill="1" applyBorder="1" applyAlignment="1">
      <alignment horizontal="center" vertical="center" textRotation="90" wrapText="1"/>
    </xf>
    <xf numFmtId="0" fontId="12" fillId="14" borderId="2" xfId="0" applyFont="1" applyFill="1" applyBorder="1" applyAlignment="1">
      <alignment horizontal="center" vertical="center" textRotation="90" wrapText="1"/>
    </xf>
    <xf numFmtId="0" fontId="12" fillId="15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7" borderId="2" xfId="0" applyFont="1" applyFill="1" applyBorder="1" applyAlignment="1">
      <alignment horizontal="center" vertical="center" textRotation="90" wrapText="1"/>
    </xf>
    <xf numFmtId="0" fontId="12" fillId="18" borderId="2" xfId="0" applyFont="1" applyFill="1" applyBorder="1" applyAlignment="1">
      <alignment horizontal="center" vertical="center" textRotation="90" wrapText="1"/>
    </xf>
    <xf numFmtId="0" fontId="12" fillId="19" borderId="2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14" borderId="2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13" fillId="19" borderId="2" xfId="0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6" xfId="0" applyFont="1" applyFill="1" applyBorder="1" applyAlignment="1">
      <alignment horizontal="center" vertical="center" wrapText="1"/>
    </xf>
    <xf numFmtId="0" fontId="13" fillId="19" borderId="3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6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5">
    <cellStyle name="Moeda 2" xfId="3" xr:uid="{00000000-0005-0000-0000-000000000000}"/>
    <cellStyle name="Moeda 3" xfId="4" xr:uid="{00000000-0005-0000-0000-000001000000}"/>
    <cellStyle name="Normal" xfId="0" builtinId="0"/>
    <cellStyle name="Porcentagem" xfId="1" builtinId="5"/>
    <cellStyle name="Vírgula 2" xfId="2" xr:uid="{00000000-0005-0000-0000-000004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numFmt numFmtId="13" formatCode="0%"/>
      <fill>
        <patternFill patternType="solid">
          <fgColor indexed="64"/>
          <bgColor theme="9" tint="-0.499984740745262"/>
        </patternFill>
      </fill>
    </dxf>
    <dxf>
      <numFmt numFmtId="13" formatCode="0%"/>
      <fill>
        <patternFill patternType="solid">
          <fgColor indexed="64"/>
          <bgColor theme="9" tint="-0.249977111117893"/>
        </patternFill>
      </fill>
    </dxf>
    <dxf>
      <numFmt numFmtId="13" formatCode="0%"/>
      <fill>
        <patternFill patternType="solid">
          <fgColor indexed="64"/>
          <bgColor theme="9" tint="0.39997558519241921"/>
        </patternFill>
      </fill>
    </dxf>
    <dxf>
      <numFmt numFmtId="13" formatCode="0%"/>
      <fill>
        <patternFill patternType="solid">
          <fgColor indexed="64"/>
          <bgColor theme="9" tint="0.59999389629810485"/>
        </patternFill>
      </fill>
    </dxf>
    <dxf>
      <numFmt numFmtId="13" formatCode="0%"/>
      <fill>
        <patternFill patternType="solid">
          <fgColor indexed="64"/>
          <bgColor theme="4" tint="-0.249977111117893"/>
        </patternFill>
      </fill>
    </dxf>
    <dxf>
      <numFmt numFmtId="13" formatCode="0%"/>
      <fill>
        <patternFill patternType="solid">
          <fgColor indexed="64"/>
          <bgColor theme="4" tint="0.39997558519241921"/>
        </patternFill>
      </fill>
    </dxf>
    <dxf>
      <numFmt numFmtId="13" formatCode="0%"/>
      <fill>
        <patternFill patternType="solid">
          <fgColor indexed="64"/>
          <bgColor theme="4" tint="0.59999389629810485"/>
        </patternFill>
      </fill>
    </dxf>
    <dxf>
      <numFmt numFmtId="13" formatCode="0%"/>
      <fill>
        <patternFill patternType="solid">
          <fgColor indexed="64"/>
          <bgColor theme="0" tint="-0.499984740745262"/>
        </patternFill>
      </fill>
    </dxf>
    <dxf>
      <numFmt numFmtId="13" formatCode="0%"/>
      <fill>
        <patternFill patternType="solid">
          <fgColor indexed="64"/>
          <bgColor theme="0" tint="-0.34998626667073579"/>
        </patternFill>
      </fill>
    </dxf>
    <dxf>
      <numFmt numFmtId="13" formatCode="0%"/>
      <fill>
        <patternFill patternType="solid">
          <fgColor indexed="64"/>
          <bgColor theme="0" tint="-0.249977111117893"/>
        </patternFill>
      </fill>
    </dxf>
    <dxf>
      <numFmt numFmtId="13" formatCode="0%"/>
      <fill>
        <patternFill patternType="solid">
          <fgColor indexed="64"/>
          <bgColor theme="0" tint="-0.1499984740745262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99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theme="8" tint="-0.24994659260841701"/>
        </patternFill>
      </fill>
    </dxf>
  </dxfs>
  <tableStyles count="1" defaultTableStyle="TableStyleMedium2" defaultPivotStyle="PivotStyleLight16">
    <tableStyle name="Estilo de Tabela 1" pivot="0" count="3" xr9:uid="{00000000-0011-0000-FFFF-FFFF00000000}">
      <tableStyleElement type="headerRow" dxfId="45"/>
      <tableStyleElement type="firstRowStripe" dxfId="44"/>
      <tableStyleElement type="secondRowStripe" dxfId="43"/>
    </tableStyle>
  </tableStyles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</xdr:colOff>
      <xdr:row>1</xdr:row>
      <xdr:rowOff>93134</xdr:rowOff>
    </xdr:from>
    <xdr:ext cx="1400175" cy="1028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950" y="283634"/>
          <a:ext cx="1400175" cy="10287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19050</xdr:rowOff>
    </xdr:from>
    <xdr:ext cx="1400175" cy="1028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09550"/>
          <a:ext cx="1400175" cy="102870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1</xdr:row>
      <xdr:rowOff>95250</xdr:rowOff>
    </xdr:from>
    <xdr:ext cx="1400175" cy="1028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85750"/>
          <a:ext cx="1400175" cy="1028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4.%20Processos%20Gest&#227;o\01.%20Regulat&#243;rio\05.%20Obriga&#231;&#245;es\04.%20CPP\01.%20NPF\CPP%202019\10.%20Avalia&#231;&#245;es\Avalia&#231;&#227;o%20dos%20Projetos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CONSOLIDAÇÃO AVALIAÇÕES"/>
      <sheetName val="AVALIAÇÃO TÉCNICA"/>
      <sheetName val="AVALIAÇÃO CADASTRAL"/>
      <sheetName val="AVALIAÇÃO DOCUMENTAL"/>
      <sheetName val="RESPOSTAS AVALIAÇÕES"/>
      <sheetName val="LISTA RECURSOS"/>
      <sheetName val="Auxiliar"/>
      <sheetName val="Calibragem"/>
    </sheetNames>
    <sheetDataSet>
      <sheetData sheetId="0" refreshError="1"/>
      <sheetData sheetId="1" refreshError="1"/>
      <sheetData sheetId="2">
        <row r="20">
          <cell r="BZ20" t="str">
            <v>Reprovado</v>
          </cell>
        </row>
      </sheetData>
      <sheetData sheetId="3">
        <row r="20">
          <cell r="Z20" t="str">
            <v>Aprovado</v>
          </cell>
        </row>
      </sheetData>
      <sheetData sheetId="4">
        <row r="20">
          <cell r="AA20" t="str">
            <v>Aprovado</v>
          </cell>
        </row>
      </sheetData>
      <sheetData sheetId="5" refreshError="1"/>
      <sheetData sheetId="6" refreshError="1"/>
      <sheetData sheetId="7">
        <row r="3">
          <cell r="B3" t="str">
            <v>Sim</v>
          </cell>
          <cell r="D3" t="str">
            <v>Sim</v>
          </cell>
          <cell r="F3" t="str">
            <v>Aprovado</v>
          </cell>
          <cell r="H3" t="str">
            <v>Fundo Perdido - Sem Repasse</v>
          </cell>
        </row>
        <row r="4">
          <cell r="B4" t="str">
            <v>Não</v>
          </cell>
          <cell r="D4" t="str">
            <v>Não</v>
          </cell>
          <cell r="F4" t="str">
            <v>Reprovado</v>
          </cell>
          <cell r="H4" t="str">
            <v>Fundo Perdido - Com Repasse</v>
          </cell>
        </row>
        <row r="5">
          <cell r="B5" t="str">
            <v>Avaliar</v>
          </cell>
          <cell r="D5" t="str">
            <v>Avaliar</v>
          </cell>
          <cell r="F5" t="str">
            <v>Avaliar</v>
          </cell>
          <cell r="H5" t="str">
            <v>Contrato Desempenho - Com Repasse</v>
          </cell>
        </row>
        <row r="6">
          <cell r="D6" t="str">
            <v>N/A</v>
          </cell>
          <cell r="H6" t="str">
            <v>Bônus</v>
          </cell>
        </row>
      </sheetData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Uso_final" displayName="Uso_final" ref="J10:K339" totalsRowShown="0" headerRowDxfId="41" dataDxfId="40">
  <autoFilter ref="J10:K339" xr:uid="{00000000-0009-0000-0100-000002000000}"/>
  <tableColumns count="2">
    <tableColumn id="1" xr3:uid="{00000000-0010-0000-0000-000001000000}" name="Uso final" dataDxfId="39"/>
    <tableColumn id="2" xr3:uid="{00000000-0010-0000-0000-000002000000}" name="Pontos" dataDxfId="38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ritérios" displayName="Critérios" ref="B10:H35" totalsRowShown="0" headerRowDxfId="37">
  <tableColumns count="7">
    <tableColumn id="1" xr3:uid="{00000000-0010-0000-0100-000001000000}" name="Critério" dataDxfId="36"/>
    <tableColumn id="2" xr3:uid="{00000000-0010-0000-0100-000002000000}" name="Subcritério" dataDxfId="35"/>
    <tableColumn id="3" xr3:uid="{00000000-0010-0000-0100-000003000000}" name="Descrição" dataDxfId="34"/>
    <tableColumn id="4" xr3:uid="{00000000-0010-0000-0100-000004000000}" name="Mínimo" dataDxfId="33"/>
    <tableColumn id="5" xr3:uid="{00000000-0010-0000-0100-000005000000}" name="Máximo" dataDxfId="32"/>
    <tableColumn id="6" xr3:uid="{00000000-0010-0000-0100-000006000000}" name="Escolhido" dataDxfId="31"/>
    <tableColumn id="7" xr3:uid="{00000000-0010-0000-0100-000007000000}" name="Pontuação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ados" displayName="Dados" ref="A11:D33" totalsRowShown="0" headerRowDxfId="29">
  <autoFilter ref="A11:D33" xr:uid="{00000000-0009-0000-0100-000004000000}"/>
  <tableColumns count="4">
    <tableColumn id="1" xr3:uid="{00000000-0010-0000-0200-000001000000}" name="Proposta" dataDxfId="28"/>
    <tableColumn id="4" xr3:uid="{00000000-0010-0000-0200-000004000000}" name="Uso final 1"/>
    <tableColumn id="5" xr3:uid="{00000000-0010-0000-0200-000005000000}" name="Uso final 2"/>
    <tableColumn id="6" xr3:uid="{00000000-0010-0000-0200-000006000000}" name="Uso final 3"/>
  </tableColumns>
  <tableStyleInfo name="Estilo de Tabe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Propostas" displayName="Propostas" ref="A11:X33" totalsRowShown="0" headerRowDxfId="27" dataDxfId="26">
  <autoFilter ref="A11:X33" xr:uid="{00000000-0009-0000-0100-000003000000}"/>
  <tableColumns count="24">
    <tableColumn id="1" xr3:uid="{00000000-0010-0000-0300-000001000000}" name="Proposta" dataDxfId="25"/>
    <tableColumn id="2" xr3:uid="{00000000-0010-0000-0300-000002000000}" name="Investimento total_x000a_[mil R$]" dataDxfId="24"/>
    <tableColumn id="3" xr3:uid="{00000000-0010-0000-0300-000003000000}" name="Investimento PEE_x000a_[mil R$]" dataDxfId="23"/>
    <tableColumn id="4" xr3:uid="{00000000-0010-0000-0300-000004000000}" name="Benefício PEE_x000a_[mil R$]" dataDxfId="22"/>
    <tableColumn id="5" xr3:uid="{00000000-0010-0000-0300-000005000000}" name="Custo PEE_x000a_[mil R$]" dataDxfId="21"/>
    <tableColumn id="6" xr3:uid="{00000000-0010-0000-0300-000006000000}" name="Investimento em equipamentos_x000a_[mil R$]" dataDxfId="20"/>
    <tableColumn id="7" xr3:uid="{00000000-0010-0000-0300-000007000000}" name="Energia economizada_x000a_[MWh/ano]" dataDxfId="19"/>
    <tableColumn id="8" xr3:uid="{00000000-0010-0000-0300-000008000000}" name="Redução na ponta_x000a_[kW]" dataDxfId="18"/>
    <tableColumn id="9" xr3:uid="{00000000-0010-0000-0300-000009000000}" name="Qualidade global_x000a_[%]" dataDxfId="17">
      <calculatedColumnFormula>VLOOKUP(Propostas[[#This Row],[Proposta]],Qualitativos!B:AU,Qualitativos!$J$2,FALSE)</calculatedColumnFormula>
    </tableColumn>
    <tableColumn id="10" xr3:uid="{00000000-0010-0000-0300-00000A000000}" name="Bases da proposta_x000a_[%]" dataDxfId="16">
      <calculatedColumnFormula>VLOOKUP(Propostas[[#This Row],[Proposta]],Qualitativos!B:AU,Qualitativos!$N$2,FALSE)</calculatedColumnFormula>
    </tableColumn>
    <tableColumn id="11" xr3:uid="{00000000-0010-0000-0300-00000B000000}" name="Cronograma_x000a_[%]" dataDxfId="15">
      <calculatedColumnFormula>VLOOKUP(Propostas[[#This Row],[Proposta]],Qualitativos!B:AU,Qualitativos!$P$2,FALSE)</calculatedColumnFormula>
    </tableColumn>
    <tableColumn id="12" xr3:uid="{00000000-0010-0000-0300-00000C000000}" name="Estratégia de M&amp;V_x000a_[%]" dataDxfId="14">
      <calculatedColumnFormula>VLOOKUP(Propostas[[#This Row],[Proposta]],Qualitativos!B:AU,Qualitativos!$T$2,FALSE)</calculatedColumnFormula>
    </tableColumn>
    <tableColumn id="13" xr3:uid="{00000000-0010-0000-0300-00000D000000}" name="Quebra de barreiras_x000a_[%]" dataDxfId="13">
      <calculatedColumnFormula>VLOOKUP(Propostas[[#This Row],[Proposta]],Qualitativos!B:AU,Qualitativos!$W$2,FALSE)</calculatedColumnFormula>
    </tableColumn>
    <tableColumn id="14" xr3:uid="{00000000-0010-0000-0300-00000E000000}" name="Induz comportamentos eficientes_x000a_[%]" dataDxfId="12">
      <calculatedColumnFormula>VLOOKUP(Propostas[[#This Row],[Proposta]],Qualitativos!B:AU,Qualitativos!$AA$2,FALSE)</calculatedColumnFormula>
    </tableColumn>
    <tableColumn id="15" xr3:uid="{00000000-0010-0000-0300-00000F000000}" name="Segmentos com barreiras_x000a_[%]" dataDxfId="11">
      <calculatedColumnFormula>VLOOKUP(Propostas[[#This Row],[Proposta]],Qualitativos!B:AU,Qualitativos!$AD$2,FALSE)</calculatedColumnFormula>
    </tableColumn>
    <tableColumn id="16" xr3:uid="{00000000-0010-0000-0300-000010000000}" name="Experiência nos usos finais propostos_x000a_[%]" dataDxfId="10">
      <calculatedColumnFormula>VLOOKUP(Propostas[[#This Row],[Proposta]],Qualitativos!B:AU,Qualitativos!$AJ$2,FALSE)</calculatedColumnFormula>
    </tableColumn>
    <tableColumn id="17" xr3:uid="{00000000-0010-0000-0300-000011000000}" name="Experiência no PEE_x000a_[%]" dataDxfId="9">
      <calculatedColumnFormula>VLOOKUP(Propostas[[#This Row],[Proposta]],Qualitativos!B:AU,Qualitativos!$AN$2,FALSE)</calculatedColumnFormula>
    </tableColumn>
    <tableColumn id="18" xr3:uid="{00000000-0010-0000-0300-000012000000}" name="Certificação CMVP da EVO_x000a_[%]" dataDxfId="8">
      <calculatedColumnFormula>VLOOKUP(Propostas[[#This Row],[Proposta]],Qualitativos!B:AU,Qualitativos!$AR$2,FALSE)</calculatedColumnFormula>
    </tableColumn>
    <tableColumn id="19" xr3:uid="{00000000-0010-0000-0300-000013000000}" name="Outras certificações pertinentes_x000a_[%]" dataDxfId="7">
      <calculatedColumnFormula>VLOOKUP(Propostas[[#This Row],[Proposta]],Qualitativos!B:AU,Qualitativos!$AU$2,FALSE)</calculatedColumnFormula>
    </tableColumn>
    <tableColumn id="20" xr3:uid="{00000000-0010-0000-0300-000014000000}" name="Uso final 1_x000a_[mil R$]" dataDxfId="6">
      <calculatedColumnFormula>121467.103830957/1000</calculatedColumnFormula>
    </tableColumn>
    <tableColumn id="21" xr3:uid="{00000000-0010-0000-0300-000015000000}" name="Uso final 2_x000a_[mil R$]" dataDxfId="5">
      <calculatedColumnFormula>422443.046263282/1000</calculatedColumnFormula>
    </tableColumn>
    <tableColumn id="22" xr3:uid="{00000000-0010-0000-0300-000016000000}" name="Uso final 3_x000a_[mil R$]" dataDxfId="4"/>
    <tableColumn id="23" xr3:uid="{00000000-0010-0000-0300-000017000000}" name="Investimento em treinamento e MKT_x000a_[mil R$]" dataDxfId="3">
      <calculatedColumnFormula>5933.31721776591/1000</calculatedColumnFormula>
    </tableColumn>
    <tableColumn id="24" xr3:uid="{00000000-0010-0000-0300-000018000000}" name="Investimento em SGE_x000a_[mil R$]" dataDxfId="2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2:K35"/>
  <sheetViews>
    <sheetView showGridLines="0" tabSelected="1" zoomScale="85" zoomScaleNormal="85" workbookViewId="0">
      <selection activeCell="D30" sqref="D30"/>
    </sheetView>
  </sheetViews>
  <sheetFormatPr defaultColWidth="9.1796875" defaultRowHeight="14" x14ac:dyDescent="0.3"/>
  <cols>
    <col min="1" max="1" width="14.7265625" style="16" customWidth="1"/>
    <col min="2" max="2" width="9.7265625" style="16" bestFit="1" customWidth="1"/>
    <col min="3" max="3" width="17" style="16" bestFit="1" customWidth="1"/>
    <col min="4" max="4" width="63.1796875" style="16" bestFit="1" customWidth="1"/>
    <col min="5" max="5" width="10.54296875" style="16" customWidth="1"/>
    <col min="6" max="6" width="11.26953125" style="16" customWidth="1"/>
    <col min="7" max="7" width="11.81640625" style="16" customWidth="1"/>
    <col min="8" max="8" width="14" style="24" customWidth="1"/>
    <col min="9" max="9" width="9.1796875" style="16"/>
    <col min="10" max="10" width="26.26953125" style="16" bestFit="1" customWidth="1"/>
    <col min="11" max="11" width="9.54296875" style="16" customWidth="1"/>
    <col min="12" max="12" width="3.81640625" style="16" customWidth="1"/>
    <col min="13" max="16384" width="9.1796875" style="16"/>
  </cols>
  <sheetData>
    <row r="2" spans="1:11" ht="18" x14ac:dyDescent="0.3">
      <c r="C2" s="27" t="s">
        <v>98</v>
      </c>
    </row>
    <row r="3" spans="1:11" x14ac:dyDescent="0.3">
      <c r="E3" s="24"/>
    </row>
    <row r="4" spans="1:11" x14ac:dyDescent="0.3">
      <c r="C4" s="28" t="s">
        <v>67</v>
      </c>
      <c r="D4" s="38"/>
      <c r="E4" s="24"/>
    </row>
    <row r="5" spans="1:11" x14ac:dyDescent="0.3">
      <c r="C5" s="29"/>
      <c r="E5" s="24"/>
    </row>
    <row r="6" spans="1:11" x14ac:dyDescent="0.3">
      <c r="C6" s="28" t="s">
        <v>99</v>
      </c>
      <c r="D6" s="38"/>
      <c r="E6" s="24"/>
    </row>
    <row r="7" spans="1:11" x14ac:dyDescent="0.3">
      <c r="E7" s="24"/>
    </row>
    <row r="8" spans="1:11" x14ac:dyDescent="0.3">
      <c r="C8" s="16" t="s">
        <v>61</v>
      </c>
      <c r="D8" s="38"/>
      <c r="E8" s="24"/>
    </row>
    <row r="9" spans="1:11" x14ac:dyDescent="0.3">
      <c r="E9" s="24"/>
    </row>
    <row r="10" spans="1:11" s="41" customFormat="1" ht="23.25" customHeight="1" x14ac:dyDescent="0.35">
      <c r="B10" s="43" t="s">
        <v>125</v>
      </c>
      <c r="C10" s="43" t="s">
        <v>127</v>
      </c>
      <c r="D10" s="43" t="s">
        <v>126</v>
      </c>
      <c r="E10" s="43" t="s">
        <v>66</v>
      </c>
      <c r="F10" s="43" t="s">
        <v>49</v>
      </c>
      <c r="G10" s="44" t="s">
        <v>100</v>
      </c>
      <c r="H10" s="43" t="s">
        <v>65</v>
      </c>
      <c r="J10" s="42" t="s">
        <v>77</v>
      </c>
      <c r="K10" s="42" t="s">
        <v>78</v>
      </c>
    </row>
    <row r="11" spans="1:11" x14ac:dyDescent="0.3">
      <c r="A11" s="31"/>
      <c r="B11" s="44" t="s">
        <v>1</v>
      </c>
      <c r="C11" s="44"/>
      <c r="D11" s="47" t="s">
        <v>37</v>
      </c>
      <c r="E11" s="48">
        <v>30</v>
      </c>
      <c r="F11" s="48">
        <v>40</v>
      </c>
      <c r="G11" s="49">
        <v>40</v>
      </c>
      <c r="H11" s="117">
        <f>SUM(H12:H13)</f>
        <v>40</v>
      </c>
      <c r="J11" s="31" t="s">
        <v>63</v>
      </c>
      <c r="K11" s="31">
        <v>1</v>
      </c>
    </row>
    <row r="12" spans="1:11" x14ac:dyDescent="0.3">
      <c r="A12" s="31"/>
      <c r="B12" s="25"/>
      <c r="C12" s="25" t="s">
        <v>27</v>
      </c>
      <c r="D12" s="17" t="s">
        <v>38</v>
      </c>
      <c r="E12" s="26">
        <v>0.75</v>
      </c>
      <c r="F12" s="32">
        <v>0.75</v>
      </c>
      <c r="G12" s="39">
        <v>0.75</v>
      </c>
      <c r="H12" s="118">
        <f>$G$11*Critérios[[#This Row],[Escolhido]]</f>
        <v>30</v>
      </c>
      <c r="J12" s="31" t="s">
        <v>79</v>
      </c>
      <c r="K12" s="31">
        <v>2</v>
      </c>
    </row>
    <row r="13" spans="1:11" x14ac:dyDescent="0.3">
      <c r="A13" s="31"/>
      <c r="B13" s="25"/>
      <c r="C13" s="25" t="s">
        <v>28</v>
      </c>
      <c r="D13" s="17" t="s">
        <v>39</v>
      </c>
      <c r="E13" s="26">
        <v>0.25</v>
      </c>
      <c r="F13" s="32">
        <v>0.25</v>
      </c>
      <c r="G13" s="39">
        <v>0.25</v>
      </c>
      <c r="H13" s="118">
        <f>$G$11*Critérios[[#This Row],[Escolhido]]</f>
        <v>10</v>
      </c>
      <c r="J13" s="31" t="s">
        <v>68</v>
      </c>
      <c r="K13" s="31">
        <v>2</v>
      </c>
    </row>
    <row r="14" spans="1:11" x14ac:dyDescent="0.3">
      <c r="A14" s="31"/>
      <c r="B14" s="44" t="s">
        <v>2</v>
      </c>
      <c r="C14" s="44"/>
      <c r="D14" s="47" t="s">
        <v>40</v>
      </c>
      <c r="E14" s="48">
        <v>5</v>
      </c>
      <c r="F14" s="48">
        <v>10</v>
      </c>
      <c r="G14" s="49">
        <v>5</v>
      </c>
      <c r="H14" s="119">
        <f>G14</f>
        <v>5</v>
      </c>
      <c r="J14" s="31" t="s">
        <v>160</v>
      </c>
      <c r="K14" s="31">
        <v>2</v>
      </c>
    </row>
    <row r="15" spans="1:11" x14ac:dyDescent="0.3">
      <c r="A15" s="31"/>
      <c r="B15" s="44" t="s">
        <v>3</v>
      </c>
      <c r="C15" s="44"/>
      <c r="D15" s="47" t="s">
        <v>95</v>
      </c>
      <c r="E15" s="48">
        <v>10</v>
      </c>
      <c r="F15" s="48">
        <v>20</v>
      </c>
      <c r="G15" s="49">
        <v>10</v>
      </c>
      <c r="H15" s="117">
        <f>SUM(H16:H17)</f>
        <v>10</v>
      </c>
      <c r="J15" s="31" t="s">
        <v>72</v>
      </c>
      <c r="K15" s="31">
        <v>3</v>
      </c>
    </row>
    <row r="16" spans="1:11" x14ac:dyDescent="0.3">
      <c r="A16" s="31"/>
      <c r="B16" s="25"/>
      <c r="C16" s="25" t="s">
        <v>92</v>
      </c>
      <c r="D16" s="17" t="s">
        <v>93</v>
      </c>
      <c r="E16" s="32">
        <v>0.5</v>
      </c>
      <c r="F16" s="32">
        <v>0.7</v>
      </c>
      <c r="G16" s="39">
        <v>0.6</v>
      </c>
      <c r="H16" s="118">
        <f>$G$15*Critérios[[#This Row],[Escolhido]]</f>
        <v>6</v>
      </c>
      <c r="J16" s="31" t="s">
        <v>74</v>
      </c>
      <c r="K16" s="31">
        <v>4</v>
      </c>
    </row>
    <row r="17" spans="1:11" x14ac:dyDescent="0.3">
      <c r="A17" s="31"/>
      <c r="B17" s="25"/>
      <c r="C17" s="25" t="s">
        <v>96</v>
      </c>
      <c r="D17" s="17" t="s">
        <v>94</v>
      </c>
      <c r="E17" s="32">
        <v>0.3</v>
      </c>
      <c r="F17" s="32">
        <v>0.5</v>
      </c>
      <c r="G17" s="39">
        <v>0.4</v>
      </c>
      <c r="H17" s="118">
        <f>$G$15*Critérios[[#This Row],[Escolhido]]</f>
        <v>4</v>
      </c>
      <c r="J17" s="31" t="s">
        <v>134</v>
      </c>
      <c r="K17" s="31">
        <v>4</v>
      </c>
    </row>
    <row r="18" spans="1:11" x14ac:dyDescent="0.3">
      <c r="A18" s="31"/>
      <c r="B18" s="44" t="s">
        <v>4</v>
      </c>
      <c r="C18" s="44"/>
      <c r="D18" s="47" t="s">
        <v>84</v>
      </c>
      <c r="E18" s="48">
        <v>8</v>
      </c>
      <c r="F18" s="48">
        <v>15</v>
      </c>
      <c r="G18" s="49">
        <v>8</v>
      </c>
      <c r="H18" s="117">
        <f>SUM(H19:H22)</f>
        <v>8</v>
      </c>
      <c r="J18" s="31" t="s">
        <v>76</v>
      </c>
      <c r="K18" s="31">
        <v>4</v>
      </c>
    </row>
    <row r="19" spans="1:11" x14ac:dyDescent="0.3">
      <c r="A19" s="31"/>
      <c r="B19" s="25"/>
      <c r="C19" s="25" t="s">
        <v>86</v>
      </c>
      <c r="D19" s="17" t="s">
        <v>85</v>
      </c>
      <c r="E19" s="26">
        <v>0.2</v>
      </c>
      <c r="F19" s="32">
        <v>0.3</v>
      </c>
      <c r="G19" s="40">
        <v>0.2</v>
      </c>
      <c r="H19" s="120">
        <f>$G$18*Critérios[[#This Row],[Escolhido]]</f>
        <v>1.6</v>
      </c>
      <c r="J19" s="31" t="s">
        <v>70</v>
      </c>
      <c r="K19" s="31">
        <v>4</v>
      </c>
    </row>
    <row r="20" spans="1:11" x14ac:dyDescent="0.3">
      <c r="A20" s="31"/>
      <c r="B20" s="25"/>
      <c r="C20" s="25" t="s">
        <v>87</v>
      </c>
      <c r="D20" s="17" t="s">
        <v>9</v>
      </c>
      <c r="E20" s="26">
        <v>0.2</v>
      </c>
      <c r="F20" s="32">
        <v>0.3</v>
      </c>
      <c r="G20" s="40">
        <v>0.2</v>
      </c>
      <c r="H20" s="120">
        <f>$G$18*Critérios[[#This Row],[Escolhido]]</f>
        <v>1.6</v>
      </c>
      <c r="J20" s="31" t="s">
        <v>71</v>
      </c>
      <c r="K20" s="31">
        <v>6</v>
      </c>
    </row>
    <row r="21" spans="1:11" x14ac:dyDescent="0.3">
      <c r="A21" s="31"/>
      <c r="B21" s="25"/>
      <c r="C21" s="25" t="s">
        <v>88</v>
      </c>
      <c r="D21" s="17" t="s">
        <v>62</v>
      </c>
      <c r="E21" s="26">
        <v>0.2</v>
      </c>
      <c r="F21" s="32">
        <v>0.3</v>
      </c>
      <c r="G21" s="40">
        <v>0.2</v>
      </c>
      <c r="H21" s="120">
        <f>$G$18*Critérios[[#This Row],[Escolhido]]</f>
        <v>1.6</v>
      </c>
      <c r="J21" s="31" t="s">
        <v>73</v>
      </c>
      <c r="K21" s="31">
        <v>6</v>
      </c>
    </row>
    <row r="22" spans="1:11" x14ac:dyDescent="0.3">
      <c r="A22" s="31"/>
      <c r="B22" s="25"/>
      <c r="C22" s="25" t="s">
        <v>89</v>
      </c>
      <c r="D22" s="17" t="s">
        <v>51</v>
      </c>
      <c r="E22" s="26">
        <v>0.3</v>
      </c>
      <c r="F22" s="32">
        <v>0.4</v>
      </c>
      <c r="G22" s="40">
        <v>0.4</v>
      </c>
      <c r="H22" s="120">
        <f>$G$18*Critérios[[#This Row],[Escolhido]]</f>
        <v>3.2</v>
      </c>
      <c r="J22" s="31" t="s">
        <v>64</v>
      </c>
      <c r="K22" s="31">
        <v>7</v>
      </c>
    </row>
    <row r="23" spans="1:11" x14ac:dyDescent="0.3">
      <c r="A23" s="31"/>
      <c r="B23" s="44" t="s">
        <v>5</v>
      </c>
      <c r="C23" s="44"/>
      <c r="D23" s="47" t="s">
        <v>43</v>
      </c>
      <c r="E23" s="48">
        <v>0</v>
      </c>
      <c r="F23" s="48">
        <v>5</v>
      </c>
      <c r="G23" s="49">
        <v>2</v>
      </c>
      <c r="H23" s="117">
        <f>SUM(H24:H26)</f>
        <v>2</v>
      </c>
      <c r="J23" s="31" t="s">
        <v>161</v>
      </c>
      <c r="K23" s="31">
        <v>8</v>
      </c>
    </row>
    <row r="24" spans="1:11" x14ac:dyDescent="0.3">
      <c r="A24" s="31"/>
      <c r="B24" s="25"/>
      <c r="C24" s="25" t="s">
        <v>29</v>
      </c>
      <c r="D24" s="17" t="s">
        <v>44</v>
      </c>
      <c r="E24" s="32">
        <v>0</v>
      </c>
      <c r="F24" s="32">
        <v>1</v>
      </c>
      <c r="G24" s="40">
        <v>0.25</v>
      </c>
      <c r="H24" s="120">
        <f>$G$23*Critérios[[#This Row],[Escolhido]]</f>
        <v>0.5</v>
      </c>
      <c r="J24" s="31" t="s">
        <v>69</v>
      </c>
      <c r="K24" s="31">
        <v>9</v>
      </c>
    </row>
    <row r="25" spans="1:11" x14ac:dyDescent="0.3">
      <c r="A25" s="31"/>
      <c r="B25" s="25"/>
      <c r="C25" s="25" t="s">
        <v>30</v>
      </c>
      <c r="D25" s="17" t="s">
        <v>45</v>
      </c>
      <c r="E25" s="32">
        <v>0</v>
      </c>
      <c r="F25" s="32">
        <v>1</v>
      </c>
      <c r="G25" s="40">
        <v>0.25</v>
      </c>
      <c r="H25" s="120">
        <f>$G$23*Critérios[[#This Row],[Escolhido]]</f>
        <v>0.5</v>
      </c>
      <c r="J25" s="31" t="s">
        <v>75</v>
      </c>
      <c r="K25" s="31">
        <v>10</v>
      </c>
    </row>
    <row r="26" spans="1:11" x14ac:dyDescent="0.3">
      <c r="A26" s="31"/>
      <c r="B26" s="25"/>
      <c r="C26" s="25" t="s">
        <v>31</v>
      </c>
      <c r="D26" s="17" t="s">
        <v>46</v>
      </c>
      <c r="E26" s="32">
        <v>0</v>
      </c>
      <c r="F26" s="32">
        <v>1</v>
      </c>
      <c r="G26" s="40">
        <v>0.5</v>
      </c>
      <c r="H26" s="120">
        <f>$G$23*Critérios[[#This Row],[Escolhido]]</f>
        <v>1</v>
      </c>
      <c r="J26" s="31"/>
      <c r="K26" s="31"/>
    </row>
    <row r="27" spans="1:11" x14ac:dyDescent="0.3">
      <c r="A27" s="31"/>
      <c r="B27" s="44" t="s">
        <v>6</v>
      </c>
      <c r="C27" s="50"/>
      <c r="D27" s="47" t="s">
        <v>47</v>
      </c>
      <c r="E27" s="48">
        <v>10</v>
      </c>
      <c r="F27" s="48">
        <v>20</v>
      </c>
      <c r="G27" s="49">
        <v>10</v>
      </c>
      <c r="H27" s="117">
        <f>SUM(H28:H31)</f>
        <v>10</v>
      </c>
      <c r="J27" s="31"/>
      <c r="K27" s="31"/>
    </row>
    <row r="28" spans="1:11" x14ac:dyDescent="0.3">
      <c r="A28" s="31"/>
      <c r="B28" s="25"/>
      <c r="C28" s="25" t="s">
        <v>32</v>
      </c>
      <c r="D28" s="17" t="s">
        <v>80</v>
      </c>
      <c r="E28" s="26">
        <v>0.3</v>
      </c>
      <c r="F28" s="32">
        <v>0.4</v>
      </c>
      <c r="G28" s="40">
        <v>0.3</v>
      </c>
      <c r="H28" s="118">
        <f>$G$27*Critérios[[#This Row],[Escolhido]]</f>
        <v>3</v>
      </c>
      <c r="J28" s="31"/>
      <c r="K28" s="31"/>
    </row>
    <row r="29" spans="1:11" x14ac:dyDescent="0.3">
      <c r="A29" s="31"/>
      <c r="B29" s="25"/>
      <c r="C29" s="25" t="s">
        <v>33</v>
      </c>
      <c r="D29" s="17" t="s">
        <v>81</v>
      </c>
      <c r="E29" s="26">
        <v>0.2</v>
      </c>
      <c r="F29" s="32">
        <v>0.3</v>
      </c>
      <c r="G29" s="40">
        <v>0.3</v>
      </c>
      <c r="H29" s="118">
        <f>$G$27*Critérios[[#This Row],[Escolhido]]</f>
        <v>3</v>
      </c>
      <c r="J29" s="31"/>
      <c r="K29" s="31"/>
    </row>
    <row r="30" spans="1:11" x14ac:dyDescent="0.3">
      <c r="A30" s="31"/>
      <c r="B30" s="25"/>
      <c r="C30" s="25" t="s">
        <v>34</v>
      </c>
      <c r="D30" s="17" t="s">
        <v>177</v>
      </c>
      <c r="E30" s="26">
        <v>0.2</v>
      </c>
      <c r="F30" s="32">
        <v>0.3</v>
      </c>
      <c r="G30" s="40">
        <v>0.2</v>
      </c>
      <c r="H30" s="118">
        <f>$G$27*Critérios[[#This Row],[Escolhido]]</f>
        <v>2</v>
      </c>
    </row>
    <row r="31" spans="1:11" x14ac:dyDescent="0.3">
      <c r="A31" s="31"/>
      <c r="B31" s="25"/>
      <c r="C31" s="25" t="s">
        <v>90</v>
      </c>
      <c r="D31" s="17" t="s">
        <v>83</v>
      </c>
      <c r="E31" s="26">
        <v>0.2</v>
      </c>
      <c r="F31" s="32">
        <v>0.3</v>
      </c>
      <c r="G31" s="40">
        <v>0.2</v>
      </c>
      <c r="H31" s="118">
        <f>$G$27*Critérios[[#This Row],[Escolhido]]</f>
        <v>2</v>
      </c>
    </row>
    <row r="32" spans="1:11" x14ac:dyDescent="0.3">
      <c r="A32" s="31"/>
      <c r="B32" s="44" t="s">
        <v>7</v>
      </c>
      <c r="C32" s="50"/>
      <c r="D32" s="47" t="s">
        <v>48</v>
      </c>
      <c r="E32" s="48">
        <v>10</v>
      </c>
      <c r="F32" s="48">
        <v>20</v>
      </c>
      <c r="G32" s="49">
        <v>15</v>
      </c>
      <c r="H32" s="119">
        <f>G32</f>
        <v>15</v>
      </c>
    </row>
    <row r="33" spans="1:8" x14ac:dyDescent="0.3">
      <c r="A33" s="31"/>
      <c r="B33" s="44" t="s">
        <v>35</v>
      </c>
      <c r="C33" s="50"/>
      <c r="D33" s="47" t="s">
        <v>97</v>
      </c>
      <c r="E33" s="48">
        <v>5</v>
      </c>
      <c r="F33" s="48">
        <v>10</v>
      </c>
      <c r="G33" s="49">
        <v>5</v>
      </c>
      <c r="H33" s="119">
        <f>G33</f>
        <v>5</v>
      </c>
    </row>
    <row r="34" spans="1:8" x14ac:dyDescent="0.3">
      <c r="A34" s="31"/>
      <c r="B34" s="44" t="s">
        <v>36</v>
      </c>
      <c r="C34" s="50"/>
      <c r="D34" s="47" t="s">
        <v>91</v>
      </c>
      <c r="E34" s="48">
        <v>5</v>
      </c>
      <c r="F34" s="48">
        <v>10</v>
      </c>
      <c r="G34" s="49">
        <v>5</v>
      </c>
      <c r="H34" s="119">
        <f>G34</f>
        <v>5</v>
      </c>
    </row>
    <row r="35" spans="1:8" x14ac:dyDescent="0.3">
      <c r="A35" s="31"/>
      <c r="B35" s="31"/>
      <c r="C35" s="31"/>
      <c r="D35" s="31"/>
      <c r="E35" s="31"/>
      <c r="F35" s="31"/>
      <c r="G35" s="48">
        <f>G11+G15+G18+G23+G27+G32+G33+G34+G14</f>
        <v>100</v>
      </c>
      <c r="H35" s="48">
        <f>H11+H15+H18+H23+H27+H32+H33+H34+H14</f>
        <v>100</v>
      </c>
    </row>
  </sheetData>
  <conditionalFormatting sqref="G11:G34">
    <cfRule type="expression" dxfId="42" priority="27">
      <formula>$G11=#REF!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headerFooter>
    <oddHeader>&amp;L&amp;"Calibri"&amp;10&amp;K0000FF Uso Interno CPFL&amp;1#_x000D_</oddHead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3:Q34"/>
  <sheetViews>
    <sheetView showGridLines="0" topLeftCell="A5" workbookViewId="0">
      <selection activeCell="A12" sqref="A12:C33"/>
    </sheetView>
  </sheetViews>
  <sheetFormatPr defaultRowHeight="14.5" x14ac:dyDescent="0.35"/>
  <cols>
    <col min="1" max="1" width="11" customWidth="1"/>
    <col min="2" max="2" width="27.453125" bestFit="1" customWidth="1"/>
    <col min="3" max="3" width="18.81640625" bestFit="1" customWidth="1"/>
    <col min="4" max="4" width="16.453125" bestFit="1" customWidth="1"/>
    <col min="6" max="6" width="19.54296875" bestFit="1" customWidth="1"/>
    <col min="7" max="7" width="14.26953125" bestFit="1" customWidth="1"/>
    <col min="8" max="8" width="15.7265625" bestFit="1" customWidth="1"/>
    <col min="9" max="9" width="18.81640625" bestFit="1" customWidth="1"/>
    <col min="10" max="10" width="10.7265625" bestFit="1" customWidth="1"/>
    <col min="11" max="11" width="8.54296875" customWidth="1"/>
    <col min="12" max="12" width="12.1796875" bestFit="1" customWidth="1"/>
    <col min="13" max="13" width="17.26953125" bestFit="1" customWidth="1"/>
    <col min="14" max="14" width="16.26953125" bestFit="1" customWidth="1"/>
    <col min="15" max="16" width="3" customWidth="1"/>
    <col min="17" max="17" width="7" customWidth="1"/>
    <col min="18" max="18" width="10.26953125" bestFit="1" customWidth="1"/>
  </cols>
  <sheetData>
    <row r="3" spans="1:17" ht="18" x14ac:dyDescent="0.35">
      <c r="C3" s="27" t="s">
        <v>128</v>
      </c>
    </row>
    <row r="11" spans="1:17" s="4" customFormat="1" x14ac:dyDescent="0.35">
      <c r="A11" s="45" t="s">
        <v>0</v>
      </c>
      <c r="B11" s="46" t="s">
        <v>10</v>
      </c>
      <c r="C11" s="46" t="s">
        <v>11</v>
      </c>
      <c r="D11" s="46" t="s">
        <v>12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x14ac:dyDescent="0.35">
      <c r="A12" s="34"/>
      <c r="B12" s="13"/>
      <c r="C12" s="13"/>
      <c r="D12" s="13"/>
      <c r="E12" s="14"/>
    </row>
    <row r="13" spans="1:17" x14ac:dyDescent="0.35">
      <c r="A13" s="34"/>
      <c r="B13" s="13"/>
      <c r="C13" s="13"/>
      <c r="D13" s="13"/>
      <c r="E13" s="14"/>
    </row>
    <row r="14" spans="1:17" x14ac:dyDescent="0.35">
      <c r="A14" s="34"/>
      <c r="B14" s="13"/>
      <c r="C14" s="13"/>
      <c r="D14" s="13"/>
      <c r="E14" s="14"/>
    </row>
    <row r="15" spans="1:17" x14ac:dyDescent="0.35">
      <c r="A15" s="34"/>
      <c r="B15" s="13"/>
      <c r="C15" s="13"/>
      <c r="D15" s="13"/>
      <c r="E15" s="14"/>
    </row>
    <row r="16" spans="1:17" x14ac:dyDescent="0.35">
      <c r="A16" s="34"/>
      <c r="B16" s="13"/>
      <c r="C16" s="13"/>
      <c r="D16" s="13"/>
      <c r="E16" s="14"/>
    </row>
    <row r="17" spans="1:17" x14ac:dyDescent="0.35">
      <c r="A17" s="34"/>
      <c r="B17" s="13"/>
      <c r="C17" s="13"/>
      <c r="D17" s="13"/>
      <c r="E17" s="14"/>
    </row>
    <row r="18" spans="1:17" x14ac:dyDescent="0.35">
      <c r="A18" s="34"/>
      <c r="B18" s="13"/>
      <c r="C18" s="13"/>
      <c r="D18" s="13"/>
      <c r="E18" s="14"/>
    </row>
    <row r="19" spans="1:17" x14ac:dyDescent="0.35">
      <c r="A19" s="34"/>
      <c r="B19" s="13"/>
      <c r="C19" s="13"/>
      <c r="D19" s="13"/>
      <c r="E19" s="14"/>
    </row>
    <row r="20" spans="1:17" x14ac:dyDescent="0.35">
      <c r="A20" s="34"/>
      <c r="B20" s="13"/>
      <c r="C20" s="13"/>
      <c r="D20" s="13"/>
      <c r="E20" s="14"/>
    </row>
    <row r="21" spans="1:17" x14ac:dyDescent="0.35">
      <c r="A21" s="34"/>
      <c r="B21" s="13"/>
      <c r="C21" s="13"/>
      <c r="D21" s="13"/>
      <c r="E21" s="14"/>
    </row>
    <row r="22" spans="1:17" x14ac:dyDescent="0.35">
      <c r="A22" s="34"/>
      <c r="B22" s="13"/>
      <c r="C22" s="13"/>
      <c r="D22" s="13"/>
      <c r="E22" s="14"/>
    </row>
    <row r="23" spans="1:17" x14ac:dyDescent="0.35">
      <c r="A23" s="34"/>
      <c r="B23" s="13"/>
      <c r="C23" s="13"/>
      <c r="D23" s="13"/>
      <c r="E23" s="14"/>
    </row>
    <row r="24" spans="1:17" x14ac:dyDescent="0.35">
      <c r="A24" s="34"/>
      <c r="B24" s="13"/>
      <c r="C24" s="13"/>
      <c r="D24" s="13"/>
      <c r="E24" s="14"/>
    </row>
    <row r="25" spans="1:17" x14ac:dyDescent="0.35">
      <c r="A25" s="34"/>
      <c r="B25" s="13"/>
      <c r="C25" s="13"/>
      <c r="D25" s="13"/>
      <c r="E25" s="14"/>
    </row>
    <row r="26" spans="1:17" x14ac:dyDescent="0.35">
      <c r="A26" s="34"/>
      <c r="B26" s="13"/>
      <c r="C26" s="13"/>
      <c r="D26" s="13"/>
      <c r="E26" s="14"/>
    </row>
    <row r="27" spans="1:17" x14ac:dyDescent="0.35">
      <c r="A27" s="34"/>
      <c r="B27" s="13"/>
      <c r="C27" s="13"/>
      <c r="D27" s="13"/>
      <c r="E27" s="14"/>
    </row>
    <row r="28" spans="1:17" x14ac:dyDescent="0.35">
      <c r="A28" s="34"/>
      <c r="B28" s="13"/>
      <c r="C28" s="13"/>
      <c r="D28" s="13"/>
      <c r="E28" s="14"/>
    </row>
    <row r="29" spans="1:17" x14ac:dyDescent="0.35">
      <c r="A29" s="34"/>
      <c r="B29" s="13"/>
      <c r="C29" s="13"/>
      <c r="D29" s="13"/>
      <c r="E29" s="14"/>
    </row>
    <row r="30" spans="1:17" x14ac:dyDescent="0.35">
      <c r="A30" s="34"/>
      <c r="B30" s="13"/>
      <c r="C30" s="13"/>
      <c r="D30" s="13"/>
      <c r="E30" s="14"/>
    </row>
    <row r="31" spans="1:17" x14ac:dyDescent="0.35">
      <c r="A31" s="34"/>
      <c r="B31" s="13"/>
      <c r="C31" s="13"/>
      <c r="D31" s="13"/>
      <c r="E31" s="14"/>
      <c r="F31" s="2"/>
      <c r="G31" s="2"/>
      <c r="H31" s="2"/>
      <c r="I31" s="2"/>
      <c r="J31" s="2"/>
      <c r="K31" s="2"/>
      <c r="L31" s="2"/>
      <c r="M31" s="7"/>
      <c r="N31" s="14"/>
      <c r="O31" s="14"/>
      <c r="P31" s="14"/>
      <c r="Q31" s="14"/>
    </row>
    <row r="32" spans="1:17" x14ac:dyDescent="0.35">
      <c r="A32" s="34"/>
      <c r="B32" s="13"/>
      <c r="C32" s="13"/>
      <c r="D32" s="13"/>
      <c r="E32" s="14"/>
      <c r="F32" s="2"/>
      <c r="G32" s="2"/>
      <c r="H32" s="2"/>
      <c r="I32" s="2"/>
      <c r="J32" s="2"/>
      <c r="K32" s="2"/>
      <c r="L32" s="2"/>
      <c r="M32" s="7"/>
      <c r="N32" s="14"/>
      <c r="O32" s="14"/>
      <c r="P32" s="14"/>
      <c r="Q32" s="14"/>
    </row>
    <row r="33" spans="1:17" x14ac:dyDescent="0.35">
      <c r="A33" s="34"/>
      <c r="B33" s="13"/>
      <c r="E33" s="14"/>
      <c r="F33" s="2"/>
      <c r="G33" s="2"/>
      <c r="H33" s="2"/>
      <c r="I33" s="2"/>
      <c r="J33" s="2"/>
      <c r="K33" s="2"/>
      <c r="L33" s="2"/>
      <c r="M33" s="7"/>
      <c r="N33" s="14"/>
      <c r="O33" s="14"/>
      <c r="P33" s="14"/>
      <c r="Q33" s="14"/>
    </row>
    <row r="34" spans="1:17" x14ac:dyDescent="0.35">
      <c r="E34" s="14"/>
      <c r="F34" s="2"/>
      <c r="G34" s="2"/>
      <c r="H34" s="2"/>
      <c r="I34" s="2"/>
      <c r="J34" s="2"/>
      <c r="K34" s="2"/>
      <c r="L34" s="2"/>
      <c r="M34" s="7"/>
      <c r="N34" s="14"/>
      <c r="O34" s="14"/>
      <c r="P34" s="14"/>
      <c r="Q34" s="14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 Uso Interno CPFL&amp;1#_x000D_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X33"/>
  <sheetViews>
    <sheetView showGridLines="0" zoomScale="85" zoomScaleNormal="85" workbookViewId="0">
      <selection activeCell="H13" sqref="H13"/>
    </sheetView>
  </sheetViews>
  <sheetFormatPr defaultRowHeight="14.5" x14ac:dyDescent="0.35"/>
  <cols>
    <col min="1" max="1" width="11" customWidth="1"/>
    <col min="2" max="2" width="10.54296875" bestFit="1" customWidth="1"/>
    <col min="3" max="3" width="12.1796875" customWidth="1"/>
    <col min="4" max="4" width="10.7265625" bestFit="1" customWidth="1"/>
    <col min="11" max="11" width="13" customWidth="1"/>
    <col min="12" max="12" width="12" customWidth="1"/>
    <col min="16" max="16" width="10.1796875" customWidth="1"/>
    <col min="20" max="20" width="10.54296875" bestFit="1" customWidth="1"/>
  </cols>
  <sheetData>
    <row r="3" spans="1:24" ht="18" x14ac:dyDescent="0.35">
      <c r="D3" s="27" t="s">
        <v>129</v>
      </c>
    </row>
    <row r="10" spans="1:24" x14ac:dyDescent="0.35">
      <c r="B10" s="108" t="s">
        <v>156</v>
      </c>
      <c r="C10" s="109" t="s">
        <v>155</v>
      </c>
      <c r="D10" s="109" t="s">
        <v>27</v>
      </c>
      <c r="E10" s="109" t="s">
        <v>27</v>
      </c>
      <c r="F10" s="109" t="s">
        <v>2</v>
      </c>
      <c r="G10" s="109" t="s">
        <v>92</v>
      </c>
      <c r="H10" s="109" t="s">
        <v>96</v>
      </c>
      <c r="I10" s="97" t="s">
        <v>86</v>
      </c>
      <c r="J10" s="98" t="s">
        <v>87</v>
      </c>
      <c r="K10" s="99" t="s">
        <v>88</v>
      </c>
      <c r="L10" s="100" t="s">
        <v>89</v>
      </c>
      <c r="M10" s="110" t="s">
        <v>29</v>
      </c>
      <c r="N10" s="111" t="s">
        <v>30</v>
      </c>
      <c r="O10" s="112" t="s">
        <v>31</v>
      </c>
      <c r="P10" s="113" t="s">
        <v>32</v>
      </c>
      <c r="Q10" s="114" t="s">
        <v>33</v>
      </c>
      <c r="R10" s="115" t="s">
        <v>34</v>
      </c>
      <c r="S10" s="116" t="s">
        <v>90</v>
      </c>
      <c r="T10" s="121" t="s">
        <v>35</v>
      </c>
      <c r="U10" s="121"/>
      <c r="V10" s="121"/>
      <c r="W10" s="122" t="s">
        <v>36</v>
      </c>
      <c r="X10" s="122"/>
    </row>
    <row r="11" spans="1:24" s="4" customFormat="1" ht="87" x14ac:dyDescent="0.35">
      <c r="A11" s="65" t="s">
        <v>0</v>
      </c>
      <c r="B11" s="66" t="s">
        <v>101</v>
      </c>
      <c r="C11" s="66" t="s">
        <v>102</v>
      </c>
      <c r="D11" s="66" t="s">
        <v>103</v>
      </c>
      <c r="E11" s="66" t="s">
        <v>133</v>
      </c>
      <c r="F11" s="66" t="s">
        <v>104</v>
      </c>
      <c r="G11" s="66" t="s">
        <v>105</v>
      </c>
      <c r="H11" s="66" t="s">
        <v>106</v>
      </c>
      <c r="I11" s="52" t="s">
        <v>107</v>
      </c>
      <c r="J11" s="53" t="s">
        <v>108</v>
      </c>
      <c r="K11" s="54" t="s">
        <v>109</v>
      </c>
      <c r="L11" s="55" t="s">
        <v>110</v>
      </c>
      <c r="M11" s="56" t="s">
        <v>111</v>
      </c>
      <c r="N11" s="57" t="s">
        <v>112</v>
      </c>
      <c r="O11" s="58" t="s">
        <v>113</v>
      </c>
      <c r="P11" s="59" t="s">
        <v>114</v>
      </c>
      <c r="Q11" s="60" t="s">
        <v>115</v>
      </c>
      <c r="R11" s="61" t="s">
        <v>116</v>
      </c>
      <c r="S11" s="62" t="s">
        <v>117</v>
      </c>
      <c r="T11" s="63" t="s">
        <v>118</v>
      </c>
      <c r="U11" s="63" t="s">
        <v>119</v>
      </c>
      <c r="V11" s="63" t="s">
        <v>120</v>
      </c>
      <c r="W11" s="64" t="s">
        <v>154</v>
      </c>
      <c r="X11" s="64" t="s">
        <v>121</v>
      </c>
    </row>
    <row r="12" spans="1:24" x14ac:dyDescent="0.35">
      <c r="A12" s="34"/>
      <c r="B12" s="14"/>
      <c r="C12" s="14"/>
      <c r="D12" s="14"/>
      <c r="E12" s="14"/>
      <c r="F12" s="14"/>
      <c r="G12" s="14"/>
      <c r="H12" s="14"/>
      <c r="I12" s="71">
        <f>VLOOKUP(Propostas[[#This Row],[Proposta]],Qualitativos!B:AU,Qualitativos!$J$2,FALSE)</f>
        <v>0.8571428571428571</v>
      </c>
      <c r="J12" s="72">
        <f>VLOOKUP(Propostas[[#This Row],[Proposta]],Qualitativos!B:AU,Qualitativos!$N$2,FALSE)</f>
        <v>1</v>
      </c>
      <c r="K12" s="73">
        <f>VLOOKUP(Propostas[[#This Row],[Proposta]],Qualitativos!B:AU,Qualitativos!$P$2,FALSE)</f>
        <v>1</v>
      </c>
      <c r="L12" s="74">
        <f>VLOOKUP(Propostas[[#This Row],[Proposta]],Qualitativos!B:AU,Qualitativos!$T$2,FALSE)</f>
        <v>0.33333333333333331</v>
      </c>
      <c r="M12" s="76">
        <f>VLOOKUP(Propostas[[#This Row],[Proposta]],Qualitativos!B:AU,Qualitativos!$W$2,FALSE)</f>
        <v>0.5</v>
      </c>
      <c r="N12" s="75">
        <f>VLOOKUP(Propostas[[#This Row],[Proposta]],Qualitativos!B:AU,Qualitativos!$AA$2,FALSE)</f>
        <v>0.33333333333333331</v>
      </c>
      <c r="O12" s="77">
        <f>VLOOKUP(Propostas[[#This Row],[Proposta]],Qualitativos!B:AU,Qualitativos!$AD$2,FALSE)</f>
        <v>1</v>
      </c>
      <c r="P12" s="80">
        <f>VLOOKUP(Propostas[[#This Row],[Proposta]],Qualitativos!B:AU,Qualitativos!$AJ$2,FALSE)</f>
        <v>1.0000000000000002</v>
      </c>
      <c r="Q12" s="79">
        <f>VLOOKUP(Propostas[[#This Row],[Proposta]],Qualitativos!B:AU,Qualitativos!$AN$2,FALSE)</f>
        <v>0.33333333333333331</v>
      </c>
      <c r="R12" s="78">
        <f>VLOOKUP(Propostas[[#This Row],[Proposta]],Qualitativos!B:AU,Qualitativos!$AR$2,FALSE)</f>
        <v>1</v>
      </c>
      <c r="S12" s="81">
        <f>VLOOKUP(Propostas[[#This Row],[Proposta]],Qualitativos!B:AU,Qualitativos!$AU$2,FALSE)</f>
        <v>1</v>
      </c>
      <c r="T12" s="14">
        <f t="shared" ref="T12" si="0">121467.103830957/1000</f>
        <v>121.467103830957</v>
      </c>
      <c r="U12" s="14"/>
      <c r="V12" s="14"/>
      <c r="W12" s="14">
        <f t="shared" ref="W12" si="1">5933.31721776591/1000</f>
        <v>5.9333172177659099</v>
      </c>
      <c r="X12" s="14">
        <v>0</v>
      </c>
    </row>
    <row r="13" spans="1:24" x14ac:dyDescent="0.35">
      <c r="A13" s="34"/>
      <c r="B13" s="14"/>
      <c r="C13" s="14"/>
      <c r="D13" s="14"/>
      <c r="E13" s="14"/>
      <c r="F13" s="14"/>
      <c r="G13" s="14"/>
      <c r="H13" s="14"/>
      <c r="I13" s="71">
        <f>VLOOKUP(Propostas[[#This Row],[Proposta]],Qualitativos!B:AU,Qualitativos!$J$2,FALSE)</f>
        <v>0.8571428571428571</v>
      </c>
      <c r="J13" s="72">
        <f>VLOOKUP(Propostas[[#This Row],[Proposta]],Qualitativos!B:AU,Qualitativos!$N$2,FALSE)</f>
        <v>1</v>
      </c>
      <c r="K13" s="73">
        <f>VLOOKUP(Propostas[[#This Row],[Proposta]],Qualitativos!B:AU,Qualitativos!$P$2,FALSE)</f>
        <v>1</v>
      </c>
      <c r="L13" s="74">
        <f>VLOOKUP(Propostas[[#This Row],[Proposta]],Qualitativos!B:AU,Qualitativos!$T$2,FALSE)</f>
        <v>0.33333333333333331</v>
      </c>
      <c r="M13" s="76">
        <f>VLOOKUP(Propostas[[#This Row],[Proposta]],Qualitativos!B:AU,Qualitativos!$W$2,FALSE)</f>
        <v>0.5</v>
      </c>
      <c r="N13" s="75">
        <f>VLOOKUP(Propostas[[#This Row],[Proposta]],Qualitativos!B:AU,Qualitativos!$AA$2,FALSE)</f>
        <v>0.33333333333333331</v>
      </c>
      <c r="O13" s="77">
        <f>VLOOKUP(Propostas[[#This Row],[Proposta]],Qualitativos!B:AU,Qualitativos!$AD$2,FALSE)</f>
        <v>1</v>
      </c>
      <c r="P13" s="80">
        <f>VLOOKUP(Propostas[[#This Row],[Proposta]],Qualitativos!B:AU,Qualitativos!$AJ$2,FALSE)</f>
        <v>1.0000000000000002</v>
      </c>
      <c r="Q13" s="79">
        <f>VLOOKUP(Propostas[[#This Row],[Proposta]],Qualitativos!B:AU,Qualitativos!$AN$2,FALSE)</f>
        <v>0.33333333333333331</v>
      </c>
      <c r="R13" s="78">
        <f>VLOOKUP(Propostas[[#This Row],[Proposta]],Qualitativos!B:AU,Qualitativos!$AR$2,FALSE)</f>
        <v>1</v>
      </c>
      <c r="S13" s="81">
        <f>VLOOKUP(Propostas[[#This Row],[Proposta]],Qualitativos!B:AU,Qualitativos!$AU$2,FALSE)</f>
        <v>1</v>
      </c>
      <c r="T13" s="14">
        <f>195496.64/1000</f>
        <v>195.49664000000001</v>
      </c>
      <c r="U13" s="14"/>
      <c r="V13" s="14"/>
      <c r="W13" s="14">
        <f>7379.78778272859/1000</f>
        <v>7.3797877827285898</v>
      </c>
      <c r="X13" s="14">
        <v>0</v>
      </c>
    </row>
    <row r="14" spans="1:24" x14ac:dyDescent="0.35">
      <c r="A14" s="34"/>
      <c r="B14" s="14"/>
      <c r="C14" s="14"/>
      <c r="D14" s="14"/>
      <c r="E14" s="14"/>
      <c r="F14" s="14"/>
      <c r="G14" s="14"/>
      <c r="H14" s="14"/>
      <c r="I14" s="71">
        <f>VLOOKUP(Propostas[[#This Row],[Proposta]],Qualitativos!B:AU,Qualitativos!$J$2,FALSE)</f>
        <v>0.8571428571428571</v>
      </c>
      <c r="J14" s="72">
        <f>VLOOKUP(Propostas[[#This Row],[Proposta]],Qualitativos!B:AU,Qualitativos!$N$2,FALSE)</f>
        <v>1</v>
      </c>
      <c r="K14" s="73">
        <f>VLOOKUP(Propostas[[#This Row],[Proposta]],Qualitativos!B:AU,Qualitativos!$P$2,FALSE)</f>
        <v>1</v>
      </c>
      <c r="L14" s="74">
        <f>VLOOKUP(Propostas[[#This Row],[Proposta]],Qualitativos!B:AU,Qualitativos!$T$2,FALSE)</f>
        <v>0.33333333333333331</v>
      </c>
      <c r="M14" s="76">
        <f>VLOOKUP(Propostas[[#This Row],[Proposta]],Qualitativos!B:AU,Qualitativos!$W$2,FALSE)</f>
        <v>0.5</v>
      </c>
      <c r="N14" s="75">
        <f>VLOOKUP(Propostas[[#This Row],[Proposta]],Qualitativos!B:AU,Qualitativos!$AA$2,FALSE)</f>
        <v>0.33333333333333331</v>
      </c>
      <c r="O14" s="77">
        <f>VLOOKUP(Propostas[[#This Row],[Proposta]],Qualitativos!B:AU,Qualitativos!$AD$2,FALSE)</f>
        <v>1</v>
      </c>
      <c r="P14" s="80">
        <f>VLOOKUP(Propostas[[#This Row],[Proposta]],Qualitativos!B:AU,Qualitativos!$AJ$2,FALSE)</f>
        <v>1.0000000000000002</v>
      </c>
      <c r="Q14" s="79">
        <f>VLOOKUP(Propostas[[#This Row],[Proposta]],Qualitativos!B:AU,Qualitativos!$AN$2,FALSE)</f>
        <v>0.33333333333333331</v>
      </c>
      <c r="R14" s="78">
        <f>VLOOKUP(Propostas[[#This Row],[Proposta]],Qualitativos!B:AU,Qualitativos!$AR$2,FALSE)</f>
        <v>1</v>
      </c>
      <c r="S14" s="81">
        <f>VLOOKUP(Propostas[[#This Row],[Proposta]],Qualitativos!B:AU,Qualitativos!$AU$2,FALSE)</f>
        <v>1</v>
      </c>
      <c r="T14" s="14">
        <f>190290.187392694/1000</f>
        <v>190.29018739269401</v>
      </c>
      <c r="U14" s="14"/>
      <c r="V14" s="14"/>
      <c r="W14" s="14">
        <f>19277.5674785388/1000</f>
        <v>19.277567478538799</v>
      </c>
      <c r="X14" s="14">
        <v>0</v>
      </c>
    </row>
    <row r="15" spans="1:24" x14ac:dyDescent="0.35">
      <c r="A15" s="34"/>
      <c r="B15" s="14"/>
      <c r="C15" s="14"/>
      <c r="D15" s="14"/>
      <c r="E15" s="14"/>
      <c r="F15" s="14"/>
      <c r="G15" s="14"/>
      <c r="H15" s="14"/>
      <c r="I15" s="71">
        <f>VLOOKUP(Propostas[[#This Row],[Proposta]],Qualitativos!B:AU,Qualitativos!$J$2,FALSE)</f>
        <v>0.8571428571428571</v>
      </c>
      <c r="J15" s="72">
        <f>VLOOKUP(Propostas[[#This Row],[Proposta]],Qualitativos!B:AU,Qualitativos!$N$2,FALSE)</f>
        <v>1</v>
      </c>
      <c r="K15" s="73">
        <f>VLOOKUP(Propostas[[#This Row],[Proposta]],Qualitativos!B:AU,Qualitativos!$P$2,FALSE)</f>
        <v>1</v>
      </c>
      <c r="L15" s="74">
        <f>VLOOKUP(Propostas[[#This Row],[Proposta]],Qualitativos!B:AU,Qualitativos!$T$2,FALSE)</f>
        <v>0.33333333333333331</v>
      </c>
      <c r="M15" s="76">
        <f>VLOOKUP(Propostas[[#This Row],[Proposta]],Qualitativos!B:AU,Qualitativos!$W$2,FALSE)</f>
        <v>0.5</v>
      </c>
      <c r="N15" s="75">
        <f>VLOOKUP(Propostas[[#This Row],[Proposta]],Qualitativos!B:AU,Qualitativos!$AA$2,FALSE)</f>
        <v>0.33333333333333331</v>
      </c>
      <c r="O15" s="77">
        <f>VLOOKUP(Propostas[[#This Row],[Proposta]],Qualitativos!B:AU,Qualitativos!$AD$2,FALSE)</f>
        <v>1</v>
      </c>
      <c r="P15" s="80">
        <f>VLOOKUP(Propostas[[#This Row],[Proposta]],Qualitativos!B:AU,Qualitativos!$AJ$2,FALSE)</f>
        <v>1.0000000000000002</v>
      </c>
      <c r="Q15" s="79">
        <f>VLOOKUP(Propostas[[#This Row],[Proposta]],Qualitativos!B:AU,Qualitativos!$AN$2,FALSE)</f>
        <v>0.33333333333333331</v>
      </c>
      <c r="R15" s="78">
        <f>VLOOKUP(Propostas[[#This Row],[Proposta]],Qualitativos!B:AU,Qualitativos!$AR$2,FALSE)</f>
        <v>1</v>
      </c>
      <c r="S15" s="81">
        <f>VLOOKUP(Propostas[[#This Row],[Proposta]],Qualitativos!B:AU,Qualitativos!$AU$2,FALSE)</f>
        <v>1</v>
      </c>
      <c r="T15" s="14">
        <f>119734.164403532/1000</f>
        <v>119.73416440353201</v>
      </c>
      <c r="U15" s="14"/>
      <c r="V15" s="14"/>
      <c r="W15" s="14">
        <f>18352.2/1000</f>
        <v>18.3522</v>
      </c>
      <c r="X15" s="14">
        <v>0</v>
      </c>
    </row>
    <row r="16" spans="1:24" x14ac:dyDescent="0.35">
      <c r="A16" s="34"/>
      <c r="B16" s="14"/>
      <c r="C16" s="14"/>
      <c r="D16" s="14"/>
      <c r="E16" s="14"/>
      <c r="F16" s="14"/>
      <c r="G16" s="14"/>
      <c r="H16" s="14"/>
      <c r="I16" s="71">
        <f>VLOOKUP(Propostas[[#This Row],[Proposta]],Qualitativos!B:AU,Qualitativos!$J$2,FALSE)</f>
        <v>0.8571428571428571</v>
      </c>
      <c r="J16" s="72">
        <f>VLOOKUP(Propostas[[#This Row],[Proposta]],Qualitativos!B:AU,Qualitativos!$N$2,FALSE)</f>
        <v>1</v>
      </c>
      <c r="K16" s="73">
        <f>VLOOKUP(Propostas[[#This Row],[Proposta]],Qualitativos!B:AU,Qualitativos!$P$2,FALSE)</f>
        <v>1</v>
      </c>
      <c r="L16" s="74">
        <f>VLOOKUP(Propostas[[#This Row],[Proposta]],Qualitativos!B:AU,Qualitativos!$T$2,FALSE)</f>
        <v>0.33333333333333331</v>
      </c>
      <c r="M16" s="76">
        <f>VLOOKUP(Propostas[[#This Row],[Proposta]],Qualitativos!B:AU,Qualitativos!$W$2,FALSE)</f>
        <v>0.5</v>
      </c>
      <c r="N16" s="75">
        <f>VLOOKUP(Propostas[[#This Row],[Proposta]],Qualitativos!B:AU,Qualitativos!$AA$2,FALSE)</f>
        <v>0.33333333333333331</v>
      </c>
      <c r="O16" s="77">
        <f>VLOOKUP(Propostas[[#This Row],[Proposta]],Qualitativos!B:AU,Qualitativos!$AD$2,FALSE)</f>
        <v>1</v>
      </c>
      <c r="P16" s="80">
        <f>VLOOKUP(Propostas[[#This Row],[Proposta]],Qualitativos!B:AU,Qualitativos!$AJ$2,FALSE)</f>
        <v>1.0000000000000002</v>
      </c>
      <c r="Q16" s="79">
        <f>VLOOKUP(Propostas[[#This Row],[Proposta]],Qualitativos!B:AU,Qualitativos!$AN$2,FALSE)</f>
        <v>0.33333333333333331</v>
      </c>
      <c r="R16" s="78">
        <f>VLOOKUP(Propostas[[#This Row],[Proposta]],Qualitativos!B:AU,Qualitativos!$AR$2,FALSE)</f>
        <v>1</v>
      </c>
      <c r="S16" s="81">
        <f>VLOOKUP(Propostas[[#This Row],[Proposta]],Qualitativos!B:AU,Qualitativos!$AU$2,FALSE)</f>
        <v>1</v>
      </c>
      <c r="T16" s="14">
        <f>150862.1/1000</f>
        <v>150.8621</v>
      </c>
      <c r="U16" s="14"/>
      <c r="V16" s="14"/>
      <c r="W16" s="14">
        <f>9052.95447707635/1000</f>
        <v>9.0529544770763497</v>
      </c>
      <c r="X16" s="14">
        <v>0</v>
      </c>
    </row>
    <row r="17" spans="1:24" x14ac:dyDescent="0.35">
      <c r="A17" s="34"/>
      <c r="B17" s="14"/>
      <c r="C17" s="14"/>
      <c r="D17" s="14"/>
      <c r="E17" s="14"/>
      <c r="F17" s="14"/>
      <c r="G17" s="14"/>
      <c r="H17" s="14"/>
      <c r="I17" s="71">
        <f>VLOOKUP(Propostas[[#This Row],[Proposta]],Qualitativos!B:AU,Qualitativos!$J$2,FALSE)</f>
        <v>0.8571428571428571</v>
      </c>
      <c r="J17" s="72">
        <f>VLOOKUP(Propostas[[#This Row],[Proposta]],Qualitativos!B:AU,Qualitativos!$N$2,FALSE)</f>
        <v>1</v>
      </c>
      <c r="K17" s="73">
        <f>VLOOKUP(Propostas[[#This Row],[Proposta]],Qualitativos!B:AU,Qualitativos!$P$2,FALSE)</f>
        <v>1</v>
      </c>
      <c r="L17" s="74">
        <f>VLOOKUP(Propostas[[#This Row],[Proposta]],Qualitativos!B:AU,Qualitativos!$T$2,FALSE)</f>
        <v>0.33333333333333331</v>
      </c>
      <c r="M17" s="76">
        <f>VLOOKUP(Propostas[[#This Row],[Proposta]],Qualitativos!B:AU,Qualitativos!$W$2,FALSE)</f>
        <v>0.5</v>
      </c>
      <c r="N17" s="75">
        <f>VLOOKUP(Propostas[[#This Row],[Proposta]],Qualitativos!B:AU,Qualitativos!$AA$2,FALSE)</f>
        <v>0.33333333333333331</v>
      </c>
      <c r="O17" s="77">
        <f>VLOOKUP(Propostas[[#This Row],[Proposta]],Qualitativos!B:AU,Qualitativos!$AD$2,FALSE)</f>
        <v>1</v>
      </c>
      <c r="P17" s="80">
        <f>VLOOKUP(Propostas[[#This Row],[Proposta]],Qualitativos!B:AU,Qualitativos!$AJ$2,FALSE)</f>
        <v>1.0000000000000002</v>
      </c>
      <c r="Q17" s="79">
        <f>VLOOKUP(Propostas[[#This Row],[Proposta]],Qualitativos!B:AU,Qualitativos!$AN$2,FALSE)</f>
        <v>0.33333333333333331</v>
      </c>
      <c r="R17" s="78">
        <f>VLOOKUP(Propostas[[#This Row],[Proposta]],Qualitativos!B:AU,Qualitativos!$AR$2,FALSE)</f>
        <v>1</v>
      </c>
      <c r="S17" s="81">
        <f>VLOOKUP(Propostas[[#This Row],[Proposta]],Qualitativos!B:AU,Qualitativos!$AU$2,FALSE)</f>
        <v>1</v>
      </c>
      <c r="T17" s="14">
        <f>198798.76/1000</f>
        <v>198.79876000000002</v>
      </c>
      <c r="U17" s="14"/>
      <c r="V17" s="14"/>
      <c r="W17" s="14">
        <f>10000/1000</f>
        <v>10</v>
      </c>
      <c r="X17" s="14">
        <v>0</v>
      </c>
    </row>
    <row r="18" spans="1:24" x14ac:dyDescent="0.35">
      <c r="A18" s="34"/>
      <c r="B18" s="14"/>
      <c r="C18" s="14"/>
      <c r="D18" s="14"/>
      <c r="E18" s="14"/>
      <c r="F18" s="14"/>
      <c r="G18" s="14"/>
      <c r="H18" s="14"/>
      <c r="I18" s="71">
        <f>VLOOKUP(Propostas[[#This Row],[Proposta]],Qualitativos!B:AU,Qualitativos!$J$2,FALSE)</f>
        <v>0.8571428571428571</v>
      </c>
      <c r="J18" s="72">
        <f>VLOOKUP(Propostas[[#This Row],[Proposta]],Qualitativos!B:AU,Qualitativos!$N$2,FALSE)</f>
        <v>1</v>
      </c>
      <c r="K18" s="73">
        <f>VLOOKUP(Propostas[[#This Row],[Proposta]],Qualitativos!B:AU,Qualitativos!$P$2,FALSE)</f>
        <v>1</v>
      </c>
      <c r="L18" s="74">
        <f>VLOOKUP(Propostas[[#This Row],[Proposta]],Qualitativos!B:AU,Qualitativos!$T$2,FALSE)</f>
        <v>0.33333333333333331</v>
      </c>
      <c r="M18" s="76">
        <f>VLOOKUP(Propostas[[#This Row],[Proposta]],Qualitativos!B:AU,Qualitativos!$W$2,FALSE)</f>
        <v>0.5</v>
      </c>
      <c r="N18" s="75">
        <f>VLOOKUP(Propostas[[#This Row],[Proposta]],Qualitativos!B:AU,Qualitativos!$AA$2,FALSE)</f>
        <v>0.33333333333333331</v>
      </c>
      <c r="O18" s="77">
        <f>VLOOKUP(Propostas[[#This Row],[Proposta]],Qualitativos!B:AU,Qualitativos!$AD$2,FALSE)</f>
        <v>1</v>
      </c>
      <c r="P18" s="80">
        <f>VLOOKUP(Propostas[[#This Row],[Proposta]],Qualitativos!B:AU,Qualitativos!$AJ$2,FALSE)</f>
        <v>1.0000000000000002</v>
      </c>
      <c r="Q18" s="79">
        <f>VLOOKUP(Propostas[[#This Row],[Proposta]],Qualitativos!B:AU,Qualitativos!$AN$2,FALSE)</f>
        <v>0.33333333333333331</v>
      </c>
      <c r="R18" s="78">
        <f>VLOOKUP(Propostas[[#This Row],[Proposta]],Qualitativos!B:AU,Qualitativos!$AR$2,FALSE)</f>
        <v>1</v>
      </c>
      <c r="S18" s="81">
        <f>VLOOKUP(Propostas[[#This Row],[Proposta]],Qualitativos!B:AU,Qualitativos!$AU$2,FALSE)</f>
        <v>1</v>
      </c>
      <c r="T18" s="14">
        <v>104.0584571</v>
      </c>
      <c r="U18" s="14"/>
      <c r="V18" s="14"/>
      <c r="W18" s="14">
        <v>10</v>
      </c>
      <c r="X18" s="14">
        <v>0</v>
      </c>
    </row>
    <row r="19" spans="1:24" x14ac:dyDescent="0.35">
      <c r="A19" s="34"/>
      <c r="B19" s="14"/>
      <c r="C19" s="14"/>
      <c r="D19" s="14"/>
      <c r="E19" s="14"/>
      <c r="F19" s="14"/>
      <c r="G19" s="14"/>
      <c r="H19" s="14"/>
      <c r="I19" s="71">
        <f>VLOOKUP(Propostas[[#This Row],[Proposta]],Qualitativos!B:AU,Qualitativos!$J$2,FALSE)</f>
        <v>0.8571428571428571</v>
      </c>
      <c r="J19" s="72">
        <f>VLOOKUP(Propostas[[#This Row],[Proposta]],Qualitativos!B:AU,Qualitativos!$N$2,FALSE)</f>
        <v>1</v>
      </c>
      <c r="K19" s="73">
        <f>VLOOKUP(Propostas[[#This Row],[Proposta]],Qualitativos!B:AU,Qualitativos!$P$2,FALSE)</f>
        <v>1</v>
      </c>
      <c r="L19" s="74">
        <f>VLOOKUP(Propostas[[#This Row],[Proposta]],Qualitativos!B:AU,Qualitativos!$T$2,FALSE)</f>
        <v>0.33333333333333331</v>
      </c>
      <c r="M19" s="76">
        <f>VLOOKUP(Propostas[[#This Row],[Proposta]],Qualitativos!B:AU,Qualitativos!$W$2,FALSE)</f>
        <v>0.5</v>
      </c>
      <c r="N19" s="75">
        <f>VLOOKUP(Propostas[[#This Row],[Proposta]],Qualitativos!B:AU,Qualitativos!$AA$2,FALSE)</f>
        <v>0.33333333333333331</v>
      </c>
      <c r="O19" s="77">
        <f>VLOOKUP(Propostas[[#This Row],[Proposta]],Qualitativos!B:AU,Qualitativos!$AD$2,FALSE)</f>
        <v>1</v>
      </c>
      <c r="P19" s="80">
        <f>VLOOKUP(Propostas[[#This Row],[Proposta]],Qualitativos!B:AU,Qualitativos!$AJ$2,FALSE)</f>
        <v>1.0000000000000002</v>
      </c>
      <c r="Q19" s="79">
        <f>VLOOKUP(Propostas[[#This Row],[Proposta]],Qualitativos!B:AU,Qualitativos!$AN$2,FALSE)</f>
        <v>0.33333333333333331</v>
      </c>
      <c r="R19" s="78">
        <f>VLOOKUP(Propostas[[#This Row],[Proposta]],Qualitativos!B:AU,Qualitativos!$AR$2,FALSE)</f>
        <v>1</v>
      </c>
      <c r="S19" s="81">
        <f>VLOOKUP(Propostas[[#This Row],[Proposta]],Qualitativos!B:AU,Qualitativos!$AU$2,FALSE)</f>
        <v>1</v>
      </c>
      <c r="T19" s="14">
        <v>996.70005000000003</v>
      </c>
      <c r="U19" s="14"/>
      <c r="V19" s="14"/>
      <c r="W19" s="14">
        <v>10</v>
      </c>
      <c r="X19" s="14">
        <v>0</v>
      </c>
    </row>
    <row r="20" spans="1:24" x14ac:dyDescent="0.35">
      <c r="A20" s="34"/>
      <c r="B20" s="14"/>
      <c r="C20" s="14"/>
      <c r="D20" s="14"/>
      <c r="E20" s="14"/>
      <c r="F20" s="14"/>
      <c r="G20" s="14"/>
      <c r="H20" s="14"/>
      <c r="I20" s="71">
        <f>VLOOKUP(Propostas[[#This Row],[Proposta]],Qualitativos!B:AU,Qualitativos!$J$2,FALSE)</f>
        <v>0.8571428571428571</v>
      </c>
      <c r="J20" s="72">
        <f>VLOOKUP(Propostas[[#This Row],[Proposta]],Qualitativos!B:AU,Qualitativos!$N$2,FALSE)</f>
        <v>1</v>
      </c>
      <c r="K20" s="73">
        <f>VLOOKUP(Propostas[[#This Row],[Proposta]],Qualitativos!B:AU,Qualitativos!$P$2,FALSE)</f>
        <v>1</v>
      </c>
      <c r="L20" s="74">
        <f>VLOOKUP(Propostas[[#This Row],[Proposta]],Qualitativos!B:AU,Qualitativos!$T$2,FALSE)</f>
        <v>0.33333333333333331</v>
      </c>
      <c r="M20" s="76">
        <f>VLOOKUP(Propostas[[#This Row],[Proposta]],Qualitativos!B:AU,Qualitativos!$W$2,FALSE)</f>
        <v>0.5</v>
      </c>
      <c r="N20" s="75">
        <f>VLOOKUP(Propostas[[#This Row],[Proposta]],Qualitativos!B:AU,Qualitativos!$AA$2,FALSE)</f>
        <v>0.33333333333333331</v>
      </c>
      <c r="O20" s="77">
        <f>VLOOKUP(Propostas[[#This Row],[Proposta]],Qualitativos!B:AU,Qualitativos!$AD$2,FALSE)</f>
        <v>1</v>
      </c>
      <c r="P20" s="80">
        <f>VLOOKUP(Propostas[[#This Row],[Proposta]],Qualitativos!B:AU,Qualitativos!$AJ$2,FALSE)</f>
        <v>1.0000000000000002</v>
      </c>
      <c r="Q20" s="79">
        <f>VLOOKUP(Propostas[[#This Row],[Proposta]],Qualitativos!B:AU,Qualitativos!$AN$2,FALSE)</f>
        <v>0.33333333333333331</v>
      </c>
      <c r="R20" s="78">
        <f>VLOOKUP(Propostas[[#This Row],[Proposta]],Qualitativos!B:AU,Qualitativos!$AR$2,FALSE)</f>
        <v>1</v>
      </c>
      <c r="S20" s="81">
        <f>VLOOKUP(Propostas[[#This Row],[Proposta]],Qualitativos!B:AU,Qualitativos!$AU$2,FALSE)</f>
        <v>1</v>
      </c>
      <c r="T20" s="14">
        <v>498.2106316</v>
      </c>
      <c r="U20" s="14"/>
      <c r="V20" s="14"/>
      <c r="W20" s="14">
        <v>10</v>
      </c>
      <c r="X20" s="14">
        <v>0</v>
      </c>
    </row>
    <row r="21" spans="1:24" x14ac:dyDescent="0.35">
      <c r="A21" s="34"/>
      <c r="B21" s="14"/>
      <c r="C21" s="14"/>
      <c r="D21" s="14"/>
      <c r="E21" s="14"/>
      <c r="F21" s="14"/>
      <c r="G21" s="14"/>
      <c r="H21" s="14"/>
      <c r="I21" s="71">
        <f>VLOOKUP(Propostas[[#This Row],[Proposta]],Qualitativos!B:AU,Qualitativos!$J$2,FALSE)</f>
        <v>0.8571428571428571</v>
      </c>
      <c r="J21" s="72">
        <f>VLOOKUP(Propostas[[#This Row],[Proposta]],Qualitativos!B:AU,Qualitativos!$N$2,FALSE)</f>
        <v>1</v>
      </c>
      <c r="K21" s="73">
        <f>VLOOKUP(Propostas[[#This Row],[Proposta]],Qualitativos!B:AU,Qualitativos!$P$2,FALSE)</f>
        <v>1</v>
      </c>
      <c r="L21" s="74">
        <f>VLOOKUP(Propostas[[#This Row],[Proposta]],Qualitativos!B:AU,Qualitativos!$T$2,FALSE)</f>
        <v>0.33333333333333331</v>
      </c>
      <c r="M21" s="76">
        <f>VLOOKUP(Propostas[[#This Row],[Proposta]],Qualitativos!B:AU,Qualitativos!$W$2,FALSE)</f>
        <v>0.5</v>
      </c>
      <c r="N21" s="75">
        <f>VLOOKUP(Propostas[[#This Row],[Proposta]],Qualitativos!B:AU,Qualitativos!$AA$2,FALSE)</f>
        <v>0.33333333333333331</v>
      </c>
      <c r="O21" s="77">
        <f>VLOOKUP(Propostas[[#This Row],[Proposta]],Qualitativos!B:AU,Qualitativos!$AD$2,FALSE)</f>
        <v>1</v>
      </c>
      <c r="P21" s="80">
        <f>VLOOKUP(Propostas[[#This Row],[Proposta]],Qualitativos!B:AU,Qualitativos!$AJ$2,FALSE)</f>
        <v>1.0000000000000002</v>
      </c>
      <c r="Q21" s="79">
        <f>VLOOKUP(Propostas[[#This Row],[Proposta]],Qualitativos!B:AU,Qualitativos!$AN$2,FALSE)</f>
        <v>0.33333333333333331</v>
      </c>
      <c r="R21" s="78">
        <f>VLOOKUP(Propostas[[#This Row],[Proposta]],Qualitativos!B:AU,Qualitativos!$AR$2,FALSE)</f>
        <v>1</v>
      </c>
      <c r="S21" s="81">
        <f>VLOOKUP(Propostas[[#This Row],[Proposta]],Qualitativos!B:AU,Qualitativos!$AU$2,FALSE)</f>
        <v>1</v>
      </c>
      <c r="T21" s="14">
        <v>516.90599999999995</v>
      </c>
      <c r="U21" s="14"/>
      <c r="V21" s="14"/>
      <c r="W21" s="14">
        <v>10</v>
      </c>
      <c r="X21" s="14">
        <v>0</v>
      </c>
    </row>
    <row r="22" spans="1:24" x14ac:dyDescent="0.35">
      <c r="A22" s="34"/>
      <c r="B22" s="14"/>
      <c r="C22" s="14"/>
      <c r="D22" s="14"/>
      <c r="E22" s="14"/>
      <c r="F22" s="14"/>
      <c r="G22" s="14"/>
      <c r="H22" s="14"/>
      <c r="I22" s="71">
        <f>VLOOKUP(Propostas[[#This Row],[Proposta]],Qualitativos!B:AU,Qualitativos!$J$2,FALSE)</f>
        <v>0.8571428571428571</v>
      </c>
      <c r="J22" s="72">
        <f>VLOOKUP(Propostas[[#This Row],[Proposta]],Qualitativos!B:AU,Qualitativos!$N$2,FALSE)</f>
        <v>1</v>
      </c>
      <c r="K22" s="73">
        <f>VLOOKUP(Propostas[[#This Row],[Proposta]],Qualitativos!B:AU,Qualitativos!$P$2,FALSE)</f>
        <v>1</v>
      </c>
      <c r="L22" s="74">
        <f>VLOOKUP(Propostas[[#This Row],[Proposta]],Qualitativos!B:AU,Qualitativos!$T$2,FALSE)</f>
        <v>0.33333333333333331</v>
      </c>
      <c r="M22" s="76">
        <f>VLOOKUP(Propostas[[#This Row],[Proposta]],Qualitativos!B:AU,Qualitativos!$W$2,FALSE)</f>
        <v>0.5</v>
      </c>
      <c r="N22" s="75">
        <f>VLOOKUP(Propostas[[#This Row],[Proposta]],Qualitativos!B:AU,Qualitativos!$AA$2,FALSE)</f>
        <v>0.33333333333333331</v>
      </c>
      <c r="O22" s="77">
        <f>VLOOKUP(Propostas[[#This Row],[Proposta]],Qualitativos!B:AU,Qualitativos!$AD$2,FALSE)</f>
        <v>1</v>
      </c>
      <c r="P22" s="80">
        <f>VLOOKUP(Propostas[[#This Row],[Proposta]],Qualitativos!B:AU,Qualitativos!$AJ$2,FALSE)</f>
        <v>1.0000000000000002</v>
      </c>
      <c r="Q22" s="79">
        <f>VLOOKUP(Propostas[[#This Row],[Proposta]],Qualitativos!B:AU,Qualitativos!$AN$2,FALSE)</f>
        <v>0.33333333333333331</v>
      </c>
      <c r="R22" s="78">
        <f>VLOOKUP(Propostas[[#This Row],[Proposta]],Qualitativos!B:AU,Qualitativos!$AR$2,FALSE)</f>
        <v>1</v>
      </c>
      <c r="S22" s="81">
        <f>VLOOKUP(Propostas[[#This Row],[Proposta]],Qualitativos!B:AU,Qualitativos!$AU$2,FALSE)</f>
        <v>1</v>
      </c>
      <c r="T22" s="14">
        <v>1359.0252499999999</v>
      </c>
      <c r="U22" s="14"/>
      <c r="V22" s="14"/>
      <c r="W22" s="14">
        <v>10</v>
      </c>
      <c r="X22" s="14">
        <v>0</v>
      </c>
    </row>
    <row r="23" spans="1:24" x14ac:dyDescent="0.35">
      <c r="A23" s="34"/>
      <c r="B23" s="14"/>
      <c r="C23" s="14"/>
      <c r="D23" s="14"/>
      <c r="E23" s="14"/>
      <c r="F23" s="14"/>
      <c r="G23" s="14"/>
      <c r="H23" s="14"/>
      <c r="I23" s="71">
        <f>VLOOKUP(Propostas[[#This Row],[Proposta]],Qualitativos!B:AU,Qualitativos!$J$2,FALSE)</f>
        <v>0.8571428571428571</v>
      </c>
      <c r="J23" s="72">
        <f>VLOOKUP(Propostas[[#This Row],[Proposta]],Qualitativos!B:AU,Qualitativos!$N$2,FALSE)</f>
        <v>1</v>
      </c>
      <c r="K23" s="73">
        <f>VLOOKUP(Propostas[[#This Row],[Proposta]],Qualitativos!B:AU,Qualitativos!$P$2,FALSE)</f>
        <v>1</v>
      </c>
      <c r="L23" s="74">
        <f>VLOOKUP(Propostas[[#This Row],[Proposta]],Qualitativos!B:AU,Qualitativos!$T$2,FALSE)</f>
        <v>0.33333333333333331</v>
      </c>
      <c r="M23" s="76">
        <f>VLOOKUP(Propostas[[#This Row],[Proposta]],Qualitativos!B:AU,Qualitativos!$W$2,FALSE)</f>
        <v>0.5</v>
      </c>
      <c r="N23" s="75">
        <f>VLOOKUP(Propostas[[#This Row],[Proposta]],Qualitativos!B:AU,Qualitativos!$AA$2,FALSE)</f>
        <v>0.33333333333333331</v>
      </c>
      <c r="O23" s="77">
        <f>VLOOKUP(Propostas[[#This Row],[Proposta]],Qualitativos!B:AU,Qualitativos!$AD$2,FALSE)</f>
        <v>1</v>
      </c>
      <c r="P23" s="80">
        <f>VLOOKUP(Propostas[[#This Row],[Proposta]],Qualitativos!B:AU,Qualitativos!$AJ$2,FALSE)</f>
        <v>1.0000000000000002</v>
      </c>
      <c r="Q23" s="79">
        <f>VLOOKUP(Propostas[[#This Row],[Proposta]],Qualitativos!B:AU,Qualitativos!$AN$2,FALSE)</f>
        <v>0.33333333333333331</v>
      </c>
      <c r="R23" s="78">
        <f>VLOOKUP(Propostas[[#This Row],[Proposta]],Qualitativos!B:AU,Qualitativos!$AR$2,FALSE)</f>
        <v>1</v>
      </c>
      <c r="S23" s="81">
        <f>VLOOKUP(Propostas[[#This Row],[Proposta]],Qualitativos!B:AU,Qualitativos!$AU$2,FALSE)</f>
        <v>1</v>
      </c>
      <c r="T23" s="14">
        <v>1067.5551</v>
      </c>
      <c r="U23" s="14"/>
      <c r="V23" s="14"/>
      <c r="W23" s="14">
        <v>10</v>
      </c>
      <c r="X23" s="14">
        <v>0</v>
      </c>
    </row>
    <row r="24" spans="1:24" x14ac:dyDescent="0.35">
      <c r="A24" s="34"/>
      <c r="B24" s="14"/>
      <c r="C24" s="14"/>
      <c r="D24" s="14"/>
      <c r="E24" s="14"/>
      <c r="F24" s="14"/>
      <c r="G24" s="14"/>
      <c r="H24" s="14"/>
      <c r="I24" s="71">
        <f>VLOOKUP(Propostas[[#This Row],[Proposta]],Qualitativos!B:AU,Qualitativos!$J$2,FALSE)</f>
        <v>0.8571428571428571</v>
      </c>
      <c r="J24" s="72">
        <f>VLOOKUP(Propostas[[#This Row],[Proposta]],Qualitativos!B:AU,Qualitativos!$N$2,FALSE)</f>
        <v>1</v>
      </c>
      <c r="K24" s="73">
        <f>VLOOKUP(Propostas[[#This Row],[Proposta]],Qualitativos!B:AU,Qualitativos!$P$2,FALSE)</f>
        <v>1</v>
      </c>
      <c r="L24" s="74">
        <f>VLOOKUP(Propostas[[#This Row],[Proposta]],Qualitativos!B:AU,Qualitativos!$T$2,FALSE)</f>
        <v>0.33333333333333331</v>
      </c>
      <c r="M24" s="76">
        <f>VLOOKUP(Propostas[[#This Row],[Proposta]],Qualitativos!B:AU,Qualitativos!$W$2,FALSE)</f>
        <v>0.5</v>
      </c>
      <c r="N24" s="75">
        <f>VLOOKUP(Propostas[[#This Row],[Proposta]],Qualitativos!B:AU,Qualitativos!$AA$2,FALSE)</f>
        <v>0.33333333333333331</v>
      </c>
      <c r="O24" s="77">
        <f>VLOOKUP(Propostas[[#This Row],[Proposta]],Qualitativos!B:AU,Qualitativos!$AD$2,FALSE)</f>
        <v>1</v>
      </c>
      <c r="P24" s="80">
        <f>VLOOKUP(Propostas[[#This Row],[Proposta]],Qualitativos!B:AU,Qualitativos!$AJ$2,FALSE)</f>
        <v>1.0000000000000002</v>
      </c>
      <c r="Q24" s="79">
        <f>VLOOKUP(Propostas[[#This Row],[Proposta]],Qualitativos!B:AU,Qualitativos!$AN$2,FALSE)</f>
        <v>0.33333333333333331</v>
      </c>
      <c r="R24" s="78">
        <f>VLOOKUP(Propostas[[#This Row],[Proposta]],Qualitativos!B:AU,Qualitativos!$AR$2,FALSE)</f>
        <v>1</v>
      </c>
      <c r="S24" s="81">
        <f>VLOOKUP(Propostas[[#This Row],[Proposta]],Qualitativos!B:AU,Qualitativos!$AU$2,FALSE)</f>
        <v>1</v>
      </c>
      <c r="T24" s="14">
        <v>1359.2343000000001</v>
      </c>
      <c r="U24" s="14"/>
      <c r="V24" s="14"/>
      <c r="W24" s="14">
        <v>10</v>
      </c>
      <c r="X24" s="14">
        <v>0</v>
      </c>
    </row>
    <row r="25" spans="1:24" x14ac:dyDescent="0.35">
      <c r="A25" s="34"/>
      <c r="B25" s="14"/>
      <c r="C25" s="14"/>
      <c r="D25" s="14"/>
      <c r="E25" s="14"/>
      <c r="F25" s="14"/>
      <c r="G25" s="14"/>
      <c r="H25" s="14"/>
      <c r="I25" s="71">
        <f>VLOOKUP(Propostas[[#This Row],[Proposta]],Qualitativos!B:AU,Qualitativos!$J$2,FALSE)</f>
        <v>0.8571428571428571</v>
      </c>
      <c r="J25" s="72">
        <f>VLOOKUP(Propostas[[#This Row],[Proposta]],Qualitativos!B:AU,Qualitativos!$N$2,FALSE)</f>
        <v>1</v>
      </c>
      <c r="K25" s="73">
        <f>VLOOKUP(Propostas[[#This Row],[Proposta]],Qualitativos!B:AU,Qualitativos!$P$2,FALSE)</f>
        <v>1</v>
      </c>
      <c r="L25" s="74">
        <f>VLOOKUP(Propostas[[#This Row],[Proposta]],Qualitativos!B:AU,Qualitativos!$T$2,FALSE)</f>
        <v>0.33333333333333331</v>
      </c>
      <c r="M25" s="76">
        <f>VLOOKUP(Propostas[[#This Row],[Proposta]],Qualitativos!B:AU,Qualitativos!$W$2,FALSE)</f>
        <v>0.5</v>
      </c>
      <c r="N25" s="75">
        <f>VLOOKUP(Propostas[[#This Row],[Proposta]],Qualitativos!B:AU,Qualitativos!$AA$2,FALSE)</f>
        <v>0.33333333333333331</v>
      </c>
      <c r="O25" s="77">
        <f>VLOOKUP(Propostas[[#This Row],[Proposta]],Qualitativos!B:AU,Qualitativos!$AD$2,FALSE)</f>
        <v>1</v>
      </c>
      <c r="P25" s="80">
        <f>VLOOKUP(Propostas[[#This Row],[Proposta]],Qualitativos!B:AU,Qualitativos!$AJ$2,FALSE)</f>
        <v>1.0000000000000002</v>
      </c>
      <c r="Q25" s="79">
        <f>VLOOKUP(Propostas[[#This Row],[Proposta]],Qualitativos!B:AU,Qualitativos!$AN$2,FALSE)</f>
        <v>0.33333333333333331</v>
      </c>
      <c r="R25" s="78">
        <f>VLOOKUP(Propostas[[#This Row],[Proposta]],Qualitativos!B:AU,Qualitativos!$AR$2,FALSE)</f>
        <v>1</v>
      </c>
      <c r="S25" s="81">
        <f>VLOOKUP(Propostas[[#This Row],[Proposta]],Qualitativos!B:AU,Qualitativos!$AU$2,FALSE)</f>
        <v>1</v>
      </c>
      <c r="T25" s="14">
        <f>483314.264/1000</f>
        <v>483.31426400000004</v>
      </c>
      <c r="U25" s="14"/>
      <c r="V25" s="14"/>
      <c r="W25" s="14">
        <v>14</v>
      </c>
      <c r="X25" s="14">
        <v>0</v>
      </c>
    </row>
    <row r="26" spans="1:24" x14ac:dyDescent="0.35">
      <c r="A26" s="34"/>
      <c r="B26" s="14"/>
      <c r="C26" s="14"/>
      <c r="D26" s="14"/>
      <c r="E26" s="14"/>
      <c r="F26" s="14"/>
      <c r="G26" s="14"/>
      <c r="H26" s="14"/>
      <c r="I26" s="71">
        <f>VLOOKUP(Propostas[[#This Row],[Proposta]],Qualitativos!B:AU,Qualitativos!$J$2,FALSE)</f>
        <v>0.8571428571428571</v>
      </c>
      <c r="J26" s="72">
        <f>VLOOKUP(Propostas[[#This Row],[Proposta]],Qualitativos!B:AU,Qualitativos!$N$2,FALSE)</f>
        <v>1</v>
      </c>
      <c r="K26" s="73">
        <f>VLOOKUP(Propostas[[#This Row],[Proposta]],Qualitativos!B:AU,Qualitativos!$P$2,FALSE)</f>
        <v>1</v>
      </c>
      <c r="L26" s="74">
        <f>VLOOKUP(Propostas[[#This Row],[Proposta]],Qualitativos!B:AU,Qualitativos!$T$2,FALSE)</f>
        <v>0.33333333333333331</v>
      </c>
      <c r="M26" s="76">
        <f>VLOOKUP(Propostas[[#This Row],[Proposta]],Qualitativos!B:AU,Qualitativos!$W$2,FALSE)</f>
        <v>0.5</v>
      </c>
      <c r="N26" s="75">
        <f>VLOOKUP(Propostas[[#This Row],[Proposta]],Qualitativos!B:AU,Qualitativos!$AA$2,FALSE)</f>
        <v>0.33333333333333331</v>
      </c>
      <c r="O26" s="77">
        <f>VLOOKUP(Propostas[[#This Row],[Proposta]],Qualitativos!B:AU,Qualitativos!$AD$2,FALSE)</f>
        <v>1</v>
      </c>
      <c r="P26" s="80">
        <f>VLOOKUP(Propostas[[#This Row],[Proposta]],Qualitativos!B:AU,Qualitativos!$AJ$2,FALSE)</f>
        <v>1.0000000000000002</v>
      </c>
      <c r="Q26" s="79">
        <f>VLOOKUP(Propostas[[#This Row],[Proposta]],Qualitativos!B:AU,Qualitativos!$AN$2,FALSE)</f>
        <v>0.33333333333333331</v>
      </c>
      <c r="R26" s="78">
        <f>VLOOKUP(Propostas[[#This Row],[Proposta]],Qualitativos!B:AU,Qualitativos!$AR$2,FALSE)</f>
        <v>1</v>
      </c>
      <c r="S26" s="81">
        <f>VLOOKUP(Propostas[[#This Row],[Proposta]],Qualitativos!B:AU,Qualitativos!$AU$2,FALSE)</f>
        <v>1</v>
      </c>
      <c r="T26" s="14">
        <f>671219.72/1000</f>
        <v>671.21971999999994</v>
      </c>
      <c r="U26" s="14"/>
      <c r="V26" s="14"/>
      <c r="W26" s="14">
        <v>0</v>
      </c>
      <c r="X26" s="14">
        <v>0</v>
      </c>
    </row>
    <row r="27" spans="1:24" x14ac:dyDescent="0.35">
      <c r="A27" s="34"/>
      <c r="B27" s="14"/>
      <c r="C27" s="14"/>
      <c r="D27" s="14"/>
      <c r="E27" s="14"/>
      <c r="F27" s="14"/>
      <c r="G27" s="14"/>
      <c r="H27" s="14"/>
      <c r="I27" s="71">
        <f>VLOOKUP(Propostas[[#This Row],[Proposta]],Qualitativos!B:AU,Qualitativos!$J$2,FALSE)</f>
        <v>0.8571428571428571</v>
      </c>
      <c r="J27" s="72">
        <f>VLOOKUP(Propostas[[#This Row],[Proposta]],Qualitativos!B:AU,Qualitativos!$N$2,FALSE)</f>
        <v>1</v>
      </c>
      <c r="K27" s="73">
        <f>VLOOKUP(Propostas[[#This Row],[Proposta]],Qualitativos!B:AU,Qualitativos!$P$2,FALSE)</f>
        <v>1</v>
      </c>
      <c r="L27" s="74">
        <f>VLOOKUP(Propostas[[#This Row],[Proposta]],Qualitativos!B:AU,Qualitativos!$T$2,FALSE)</f>
        <v>0.33333333333333331</v>
      </c>
      <c r="M27" s="76">
        <f>VLOOKUP(Propostas[[#This Row],[Proposta]],Qualitativos!B:AU,Qualitativos!$W$2,FALSE)</f>
        <v>0.5</v>
      </c>
      <c r="N27" s="75">
        <f>VLOOKUP(Propostas[[#This Row],[Proposta]],Qualitativos!B:AU,Qualitativos!$AA$2,FALSE)</f>
        <v>0.33333333333333331</v>
      </c>
      <c r="O27" s="77">
        <f>VLOOKUP(Propostas[[#This Row],[Proposta]],Qualitativos!B:AU,Qualitativos!$AD$2,FALSE)</f>
        <v>1</v>
      </c>
      <c r="P27" s="80">
        <f>VLOOKUP(Propostas[[#This Row],[Proposta]],Qualitativos!B:AU,Qualitativos!$AJ$2,FALSE)</f>
        <v>1.0000000000000002</v>
      </c>
      <c r="Q27" s="79">
        <f>VLOOKUP(Propostas[[#This Row],[Proposta]],Qualitativos!B:AU,Qualitativos!$AN$2,FALSE)</f>
        <v>0.33333333333333331</v>
      </c>
      <c r="R27" s="78">
        <f>VLOOKUP(Propostas[[#This Row],[Proposta]],Qualitativos!B:AU,Qualitativos!$AR$2,FALSE)</f>
        <v>1</v>
      </c>
      <c r="S27" s="81">
        <f>VLOOKUP(Propostas[[#This Row],[Proposta]],Qualitativos!B:AU,Qualitativos!$AU$2,FALSE)</f>
        <v>1</v>
      </c>
      <c r="T27" s="14">
        <f>1320719.2193614/1000</f>
        <v>1320.7192193614001</v>
      </c>
      <c r="U27" s="14"/>
      <c r="V27" s="14"/>
      <c r="W27" s="14">
        <f>8800/1000</f>
        <v>8.8000000000000007</v>
      </c>
      <c r="X27" s="14">
        <v>0</v>
      </c>
    </row>
    <row r="28" spans="1:24" x14ac:dyDescent="0.35">
      <c r="A28" s="34"/>
      <c r="B28" s="14"/>
      <c r="C28" s="14"/>
      <c r="D28" s="14"/>
      <c r="E28" s="14"/>
      <c r="F28" s="14"/>
      <c r="G28" s="14"/>
      <c r="H28" s="14"/>
      <c r="I28" s="71">
        <f>VLOOKUP(Propostas[[#This Row],[Proposta]],Qualitativos!B:AU,Qualitativos!$J$2,FALSE)</f>
        <v>0.8571428571428571</v>
      </c>
      <c r="J28" s="72">
        <f>VLOOKUP(Propostas[[#This Row],[Proposta]],Qualitativos!B:AU,Qualitativos!$N$2,FALSE)</f>
        <v>1</v>
      </c>
      <c r="K28" s="73">
        <f>VLOOKUP(Propostas[[#This Row],[Proposta]],Qualitativos!B:AU,Qualitativos!$P$2,FALSE)</f>
        <v>1</v>
      </c>
      <c r="L28" s="74">
        <f>VLOOKUP(Propostas[[#This Row],[Proposta]],Qualitativos!B:AU,Qualitativos!$T$2,FALSE)</f>
        <v>0.33333333333333331</v>
      </c>
      <c r="M28" s="76">
        <f>VLOOKUP(Propostas[[#This Row],[Proposta]],Qualitativos!B:AU,Qualitativos!$W$2,FALSE)</f>
        <v>0.5</v>
      </c>
      <c r="N28" s="75">
        <f>VLOOKUP(Propostas[[#This Row],[Proposta]],Qualitativos!B:AU,Qualitativos!$AA$2,FALSE)</f>
        <v>0.33333333333333331</v>
      </c>
      <c r="O28" s="77">
        <f>VLOOKUP(Propostas[[#This Row],[Proposta]],Qualitativos!B:AU,Qualitativos!$AD$2,FALSE)</f>
        <v>1</v>
      </c>
      <c r="P28" s="80">
        <f>VLOOKUP(Propostas[[#This Row],[Proposta]],Qualitativos!B:AU,Qualitativos!$AJ$2,FALSE)</f>
        <v>1.0000000000000002</v>
      </c>
      <c r="Q28" s="79">
        <f>VLOOKUP(Propostas[[#This Row],[Proposta]],Qualitativos!B:AU,Qualitativos!$AN$2,FALSE)</f>
        <v>0.33333333333333331</v>
      </c>
      <c r="R28" s="78">
        <f>VLOOKUP(Propostas[[#This Row],[Proposta]],Qualitativos!B:AU,Qualitativos!$AR$2,FALSE)</f>
        <v>1</v>
      </c>
      <c r="S28" s="81">
        <f>VLOOKUP(Propostas[[#This Row],[Proposta]],Qualitativos!B:AU,Qualitativos!$AU$2,FALSE)</f>
        <v>1</v>
      </c>
      <c r="T28" s="14">
        <f>1169969.86/1000</f>
        <v>1169.9698600000002</v>
      </c>
      <c r="U28" s="14"/>
      <c r="V28" s="14"/>
      <c r="W28" s="14">
        <v>14</v>
      </c>
      <c r="X28" s="14">
        <v>0</v>
      </c>
    </row>
    <row r="29" spans="1:24" x14ac:dyDescent="0.35">
      <c r="A29" s="34"/>
      <c r="B29" s="14"/>
      <c r="C29" s="14"/>
      <c r="D29" s="14"/>
      <c r="E29" s="14"/>
      <c r="F29" s="14"/>
      <c r="G29" s="14"/>
      <c r="H29" s="14"/>
      <c r="I29" s="71">
        <f>VLOOKUP(Propostas[[#This Row],[Proposta]],Qualitativos!B:AU,Qualitativos!$J$2,FALSE)</f>
        <v>0.8571428571428571</v>
      </c>
      <c r="J29" s="72">
        <f>VLOOKUP(Propostas[[#This Row],[Proposta]],Qualitativos!B:AU,Qualitativos!$N$2,FALSE)</f>
        <v>1</v>
      </c>
      <c r="K29" s="73">
        <f>VLOOKUP(Propostas[[#This Row],[Proposta]],Qualitativos!B:AU,Qualitativos!$P$2,FALSE)</f>
        <v>1</v>
      </c>
      <c r="L29" s="74">
        <f>VLOOKUP(Propostas[[#This Row],[Proposta]],Qualitativos!B:AU,Qualitativos!$T$2,FALSE)</f>
        <v>0.33333333333333331</v>
      </c>
      <c r="M29" s="76">
        <f>VLOOKUP(Propostas[[#This Row],[Proposta]],Qualitativos!B:AU,Qualitativos!$W$2,FALSE)</f>
        <v>0.5</v>
      </c>
      <c r="N29" s="75">
        <f>VLOOKUP(Propostas[[#This Row],[Proposta]],Qualitativos!B:AU,Qualitativos!$AA$2,FALSE)</f>
        <v>0.33333333333333331</v>
      </c>
      <c r="O29" s="77">
        <f>VLOOKUP(Propostas[[#This Row],[Proposta]],Qualitativos!B:AU,Qualitativos!$AD$2,FALSE)</f>
        <v>1</v>
      </c>
      <c r="P29" s="80">
        <f>VLOOKUP(Propostas[[#This Row],[Proposta]],Qualitativos!B:AU,Qualitativos!$AJ$2,FALSE)</f>
        <v>1.0000000000000002</v>
      </c>
      <c r="Q29" s="79">
        <f>VLOOKUP(Propostas[[#This Row],[Proposta]],Qualitativos!B:AU,Qualitativos!$AN$2,FALSE)</f>
        <v>0.33333333333333331</v>
      </c>
      <c r="R29" s="78">
        <f>VLOOKUP(Propostas[[#This Row],[Proposta]],Qualitativos!B:AU,Qualitativos!$AR$2,FALSE)</f>
        <v>1</v>
      </c>
      <c r="S29" s="81">
        <f>VLOOKUP(Propostas[[#This Row],[Proposta]],Qualitativos!B:AU,Qualitativos!$AU$2,FALSE)</f>
        <v>1</v>
      </c>
      <c r="T29" s="14">
        <f>1202913/1000</f>
        <v>1202.913</v>
      </c>
      <c r="U29" s="14"/>
      <c r="V29" s="14"/>
      <c r="W29" s="14">
        <v>14</v>
      </c>
      <c r="X29" s="14">
        <v>0</v>
      </c>
    </row>
    <row r="30" spans="1:24" x14ac:dyDescent="0.35">
      <c r="A30" s="34"/>
      <c r="B30" s="14"/>
      <c r="C30" s="14"/>
      <c r="D30" s="14"/>
      <c r="E30" s="14"/>
      <c r="F30" s="14"/>
      <c r="G30" s="14"/>
      <c r="H30" s="14"/>
      <c r="I30" s="71">
        <f>VLOOKUP(Propostas[[#This Row],[Proposta]],Qualitativos!B:AU,Qualitativos!$J$2,FALSE)</f>
        <v>0.8571428571428571</v>
      </c>
      <c r="J30" s="72">
        <f>VLOOKUP(Propostas[[#This Row],[Proposta]],Qualitativos!B:AU,Qualitativos!$N$2,FALSE)</f>
        <v>1</v>
      </c>
      <c r="K30" s="73">
        <f>VLOOKUP(Propostas[[#This Row],[Proposta]],Qualitativos!B:AU,Qualitativos!$P$2,FALSE)</f>
        <v>1</v>
      </c>
      <c r="L30" s="74">
        <f>VLOOKUP(Propostas[[#This Row],[Proposta]],Qualitativos!B:AU,Qualitativos!$T$2,FALSE)</f>
        <v>0.33333333333333331</v>
      </c>
      <c r="M30" s="76">
        <f>VLOOKUP(Propostas[[#This Row],[Proposta]],Qualitativos!B:AU,Qualitativos!$W$2,FALSE)</f>
        <v>0.5</v>
      </c>
      <c r="N30" s="75">
        <f>VLOOKUP(Propostas[[#This Row],[Proposta]],Qualitativos!B:AU,Qualitativos!$AA$2,FALSE)</f>
        <v>0.33333333333333331</v>
      </c>
      <c r="O30" s="77">
        <f>VLOOKUP(Propostas[[#This Row],[Proposta]],Qualitativos!B:AU,Qualitativos!$AD$2,FALSE)</f>
        <v>1</v>
      </c>
      <c r="P30" s="80">
        <f>VLOOKUP(Propostas[[#This Row],[Proposta]],Qualitativos!B:AU,Qualitativos!$AJ$2,FALSE)</f>
        <v>1.0000000000000002</v>
      </c>
      <c r="Q30" s="79">
        <f>VLOOKUP(Propostas[[#This Row],[Proposta]],Qualitativos!B:AU,Qualitativos!$AN$2,FALSE)</f>
        <v>0.33333333333333331</v>
      </c>
      <c r="R30" s="78">
        <f>VLOOKUP(Propostas[[#This Row],[Proposta]],Qualitativos!B:AU,Qualitativos!$AR$2,FALSE)</f>
        <v>1</v>
      </c>
      <c r="S30" s="81">
        <f>VLOOKUP(Propostas[[#This Row],[Proposta]],Qualitativos!B:AU,Qualitativos!$AU$2,FALSE)</f>
        <v>1</v>
      </c>
      <c r="T30" s="14">
        <f>64480.9536/1000</f>
        <v>64.480953600000007</v>
      </c>
      <c r="U30" s="14"/>
      <c r="V30" s="14"/>
      <c r="W30" s="14">
        <v>21</v>
      </c>
      <c r="X30" s="14">
        <v>0</v>
      </c>
    </row>
    <row r="31" spans="1:24" x14ac:dyDescent="0.35">
      <c r="A31" s="34"/>
      <c r="B31" s="14"/>
      <c r="C31" s="14"/>
      <c r="D31" s="14"/>
      <c r="E31" s="14"/>
      <c r="F31" s="14"/>
      <c r="G31" s="14"/>
      <c r="H31" s="14"/>
      <c r="I31" s="71">
        <f>VLOOKUP(Propostas[[#This Row],[Proposta]],Qualitativos!B:AU,Qualitativos!$J$2,FALSE)</f>
        <v>0.8571428571428571</v>
      </c>
      <c r="J31" s="72">
        <f>VLOOKUP(Propostas[[#This Row],[Proposta]],Qualitativos!B:AU,Qualitativos!$N$2,FALSE)</f>
        <v>1</v>
      </c>
      <c r="K31" s="73">
        <f>VLOOKUP(Propostas[[#This Row],[Proposta]],Qualitativos!B:AU,Qualitativos!$P$2,FALSE)</f>
        <v>1</v>
      </c>
      <c r="L31" s="74">
        <f>VLOOKUP(Propostas[[#This Row],[Proposta]],Qualitativos!B:AU,Qualitativos!$T$2,FALSE)</f>
        <v>0.33333333333333331</v>
      </c>
      <c r="M31" s="76">
        <f>VLOOKUP(Propostas[[#This Row],[Proposta]],Qualitativos!B:AU,Qualitativos!$W$2,FALSE)</f>
        <v>0.5</v>
      </c>
      <c r="N31" s="75">
        <f>VLOOKUP(Propostas[[#This Row],[Proposta]],Qualitativos!B:AU,Qualitativos!$AA$2,FALSE)</f>
        <v>0.33333333333333331</v>
      </c>
      <c r="O31" s="77">
        <f>VLOOKUP(Propostas[[#This Row],[Proposta]],Qualitativos!B:AU,Qualitativos!$AD$2,FALSE)</f>
        <v>1</v>
      </c>
      <c r="P31" s="80">
        <f>VLOOKUP(Propostas[[#This Row],[Proposta]],Qualitativos!B:AU,Qualitativos!$AJ$2,FALSE)</f>
        <v>1.0000000000000002</v>
      </c>
      <c r="Q31" s="79">
        <f>VLOOKUP(Propostas[[#This Row],[Proposta]],Qualitativos!B:AU,Qualitativos!$AN$2,FALSE)</f>
        <v>0.33333333333333331</v>
      </c>
      <c r="R31" s="78">
        <f>VLOOKUP(Propostas[[#This Row],[Proposta]],Qualitativos!B:AU,Qualitativos!$AR$2,FALSE)</f>
        <v>1</v>
      </c>
      <c r="S31" s="81">
        <f>VLOOKUP(Propostas[[#This Row],[Proposta]],Qualitativos!B:AU,Qualitativos!$AU$2,FALSE)</f>
        <v>1</v>
      </c>
      <c r="T31" s="14">
        <f>1156169.682/1000</f>
        <v>1156.169682</v>
      </c>
      <c r="U31" s="14"/>
      <c r="V31" s="14"/>
      <c r="W31" s="14">
        <v>14</v>
      </c>
      <c r="X31" s="14">
        <v>0</v>
      </c>
    </row>
    <row r="32" spans="1:24" x14ac:dyDescent="0.35">
      <c r="A32" s="34"/>
      <c r="B32" s="14"/>
      <c r="C32" s="14"/>
      <c r="D32" s="14"/>
      <c r="E32" s="14"/>
      <c r="F32" s="14"/>
      <c r="G32" s="14"/>
      <c r="H32" s="14"/>
      <c r="I32" s="71">
        <f>VLOOKUP(Propostas[[#This Row],[Proposta]],Qualitativos!B:AU,Qualitativos!$J$2,FALSE)</f>
        <v>0.8571428571428571</v>
      </c>
      <c r="J32" s="72">
        <f>VLOOKUP(Propostas[[#This Row],[Proposta]],Qualitativos!B:AU,Qualitativos!$N$2,FALSE)</f>
        <v>1</v>
      </c>
      <c r="K32" s="73">
        <f>VLOOKUP(Propostas[[#This Row],[Proposta]],Qualitativos!B:AU,Qualitativos!$P$2,FALSE)</f>
        <v>1</v>
      </c>
      <c r="L32" s="74">
        <f>VLOOKUP(Propostas[[#This Row],[Proposta]],Qualitativos!B:AU,Qualitativos!$T$2,FALSE)</f>
        <v>0.33333333333333331</v>
      </c>
      <c r="M32" s="76">
        <f>VLOOKUP(Propostas[[#This Row],[Proposta]],Qualitativos!B:AU,Qualitativos!$W$2,FALSE)</f>
        <v>0.5</v>
      </c>
      <c r="N32" s="75">
        <f>VLOOKUP(Propostas[[#This Row],[Proposta]],Qualitativos!B:AU,Qualitativos!$AA$2,FALSE)</f>
        <v>0.33333333333333331</v>
      </c>
      <c r="O32" s="77">
        <f>VLOOKUP(Propostas[[#This Row],[Proposta]],Qualitativos!B:AU,Qualitativos!$AD$2,FALSE)</f>
        <v>1</v>
      </c>
      <c r="P32" s="80">
        <f>VLOOKUP(Propostas[[#This Row],[Proposta]],Qualitativos!B:AU,Qualitativos!$AJ$2,FALSE)</f>
        <v>1.0000000000000002</v>
      </c>
      <c r="Q32" s="79">
        <f>VLOOKUP(Propostas[[#This Row],[Proposta]],Qualitativos!B:AU,Qualitativos!$AN$2,FALSE)</f>
        <v>0.33333333333333331</v>
      </c>
      <c r="R32" s="78">
        <f>VLOOKUP(Propostas[[#This Row],[Proposta]],Qualitativos!B:AU,Qualitativos!$AR$2,FALSE)</f>
        <v>1</v>
      </c>
      <c r="S32" s="81">
        <f>VLOOKUP(Propostas[[#This Row],[Proposta]],Qualitativos!B:AU,Qualitativos!$AU$2,FALSE)</f>
        <v>1</v>
      </c>
      <c r="T32" s="14">
        <f>1268640.356/1000</f>
        <v>1268.6403559999999</v>
      </c>
      <c r="U32" s="14"/>
      <c r="V32" s="14"/>
      <c r="W32" s="14">
        <v>15</v>
      </c>
      <c r="X32" s="14">
        <v>0</v>
      </c>
    </row>
    <row r="33" spans="1:24" x14ac:dyDescent="0.35">
      <c r="A33" s="34"/>
      <c r="B33" s="14"/>
      <c r="C33" s="14"/>
      <c r="D33" s="14"/>
      <c r="E33" s="14"/>
      <c r="F33" s="14"/>
      <c r="G33" s="14"/>
      <c r="H33" s="14"/>
      <c r="I33" s="71">
        <f>VLOOKUP(Propostas[[#This Row],[Proposta]],Qualitativos!B:AU,Qualitativos!$J$2,FALSE)</f>
        <v>0.8571428571428571</v>
      </c>
      <c r="J33" s="72">
        <f>VLOOKUP(Propostas[[#This Row],[Proposta]],Qualitativos!B:AU,Qualitativos!$N$2,FALSE)</f>
        <v>1</v>
      </c>
      <c r="K33" s="73">
        <f>VLOOKUP(Propostas[[#This Row],[Proposta]],Qualitativos!B:AU,Qualitativos!$P$2,FALSE)</f>
        <v>1</v>
      </c>
      <c r="L33" s="74">
        <f>VLOOKUP(Propostas[[#This Row],[Proposta]],Qualitativos!B:AU,Qualitativos!$T$2,FALSE)</f>
        <v>0.33333333333333331</v>
      </c>
      <c r="M33" s="76">
        <f>VLOOKUP(Propostas[[#This Row],[Proposta]],Qualitativos!B:AU,Qualitativos!$W$2,FALSE)</f>
        <v>0.5</v>
      </c>
      <c r="N33" s="75">
        <f>VLOOKUP(Propostas[[#This Row],[Proposta]],Qualitativos!B:AU,Qualitativos!$AA$2,FALSE)</f>
        <v>0.33333333333333331</v>
      </c>
      <c r="O33" s="77">
        <f>VLOOKUP(Propostas[[#This Row],[Proposta]],Qualitativos!B:AU,Qualitativos!$AD$2,FALSE)</f>
        <v>1</v>
      </c>
      <c r="P33" s="80">
        <f>VLOOKUP(Propostas[[#This Row],[Proposta]],Qualitativos!B:AU,Qualitativos!$AJ$2,FALSE)</f>
        <v>1.0000000000000002</v>
      </c>
      <c r="Q33" s="79">
        <f>VLOOKUP(Propostas[[#This Row],[Proposta]],Qualitativos!B:AU,Qualitativos!$AN$2,FALSE)</f>
        <v>0.33333333333333331</v>
      </c>
      <c r="R33" s="78">
        <f>VLOOKUP(Propostas[[#This Row],[Proposta]],Qualitativos!B:AU,Qualitativos!$AR$2,FALSE)</f>
        <v>1</v>
      </c>
      <c r="S33" s="81">
        <f>VLOOKUP(Propostas[[#This Row],[Proposta]],Qualitativos!B:AU,Qualitativos!$AU$2,FALSE)</f>
        <v>1</v>
      </c>
      <c r="T33" s="14">
        <f>121467.103830957/1000</f>
        <v>121.467103830957</v>
      </c>
      <c r="U33" s="14">
        <f>422443.046263282/1000</f>
        <v>422.44304626328199</v>
      </c>
      <c r="V33" s="14"/>
      <c r="W33" s="14">
        <f>5933.31721776591/1000</f>
        <v>5.9333172177659099</v>
      </c>
      <c r="X33" s="14"/>
    </row>
  </sheetData>
  <mergeCells count="2">
    <mergeCell ref="T10:V10"/>
    <mergeCell ref="W10:X10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 Uso Interno CPFL&amp;1#_x000D_</oddHeader>
  </headerFooter>
  <ignoredErrors>
    <ignoredError sqref="T13:T15 T16 T17 T26:W27 T28:W28 W29:W32 T29 T30 T31:T32 T25:W25 T18 T19 T20 T21 T22:X24 V13:W15 V16:W16 V17:W17 V18:X18 V19:X19 V20:X20 V21:X21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27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U26" sqref="B26:AU26"/>
    </sheetView>
  </sheetViews>
  <sheetFormatPr defaultRowHeight="14.5" x14ac:dyDescent="0.35"/>
  <cols>
    <col min="1" max="1" width="0" hidden="1" customWidth="1"/>
    <col min="3" max="3" width="15" bestFit="1" customWidth="1"/>
    <col min="4" max="4" width="6.54296875" bestFit="1" customWidth="1"/>
    <col min="5" max="6" width="15" bestFit="1" customWidth="1"/>
    <col min="7" max="7" width="9.26953125" bestFit="1" customWidth="1"/>
    <col min="8" max="8" width="12.1796875" bestFit="1" customWidth="1"/>
    <col min="9" max="9" width="4.26953125" bestFit="1" customWidth="1"/>
    <col min="10" max="10" width="9.453125" bestFit="1" customWidth="1"/>
    <col min="11" max="11" width="12.1796875" bestFit="1" customWidth="1"/>
    <col min="12" max="13" width="9.26953125" bestFit="1" customWidth="1"/>
    <col min="14" max="14" width="8.1796875" bestFit="1" customWidth="1"/>
    <col min="15" max="15" width="15" bestFit="1" customWidth="1"/>
    <col min="16" max="16" width="10" customWidth="1"/>
    <col min="17" max="17" width="12.1796875" bestFit="1" customWidth="1"/>
    <col min="18" max="18" width="9.26953125" bestFit="1" customWidth="1"/>
    <col min="19" max="19" width="12.1796875" bestFit="1" customWidth="1"/>
    <col min="20" max="20" width="8.1796875" bestFit="1" customWidth="1"/>
    <col min="21" max="21" width="12.1796875" bestFit="1" customWidth="1"/>
    <col min="22" max="22" width="6.54296875" bestFit="1" customWidth="1"/>
    <col min="23" max="23" width="13.26953125" customWidth="1"/>
    <col min="24" max="25" width="9.26953125" bestFit="1" customWidth="1"/>
    <col min="26" max="26" width="6.54296875" bestFit="1" customWidth="1"/>
    <col min="27" max="27" width="19.26953125" customWidth="1"/>
    <col min="28" max="29" width="9.26953125" bestFit="1" customWidth="1"/>
    <col min="30" max="30" width="18.7265625" customWidth="1"/>
    <col min="31" max="35" width="9.26953125" bestFit="1" customWidth="1"/>
    <col min="36" max="36" width="8.54296875" bestFit="1" customWidth="1"/>
    <col min="37" max="37" width="6.54296875" bestFit="1" customWidth="1"/>
    <col min="38" max="38" width="9.26953125" bestFit="1" customWidth="1"/>
    <col min="39" max="39" width="4.26953125" bestFit="1" customWidth="1"/>
    <col min="40" max="40" width="11.1796875" customWidth="1"/>
    <col min="41" max="41" width="6.54296875" bestFit="1" customWidth="1"/>
    <col min="42" max="42" width="9.26953125" bestFit="1" customWidth="1"/>
    <col min="43" max="43" width="6.54296875" customWidth="1"/>
    <col min="44" max="44" width="8.1796875" bestFit="1" customWidth="1"/>
    <col min="45" max="46" width="9.26953125" bestFit="1" customWidth="1"/>
    <col min="47" max="47" width="23.81640625" customWidth="1"/>
  </cols>
  <sheetData>
    <row r="1" spans="1:47" hidden="1" x14ac:dyDescent="0.35"/>
    <row r="2" spans="1:47" hidden="1" x14ac:dyDescent="0.35">
      <c r="A2" t="s">
        <v>135</v>
      </c>
      <c r="J2">
        <f>COLUMN(J4)-1</f>
        <v>9</v>
      </c>
      <c r="N2">
        <f>COLUMN(N4)-1</f>
        <v>13</v>
      </c>
      <c r="P2">
        <f>COLUMN(P4)-1</f>
        <v>15</v>
      </c>
      <c r="T2">
        <f>COLUMN(T4)-1</f>
        <v>19</v>
      </c>
      <c r="W2">
        <f>COLUMN(W4)-1</f>
        <v>22</v>
      </c>
      <c r="AA2">
        <f>COLUMN(AA4)-1</f>
        <v>26</v>
      </c>
      <c r="AD2">
        <f>COLUMN(AD4)-1</f>
        <v>29</v>
      </c>
      <c r="AJ2">
        <f>COLUMN(AJ4)-1</f>
        <v>35</v>
      </c>
      <c r="AN2">
        <f>COLUMN(AN4)-1</f>
        <v>39</v>
      </c>
      <c r="AR2">
        <f>COLUMN(AR4)-1</f>
        <v>43</v>
      </c>
      <c r="AU2">
        <f>COLUMN(AU4)-1</f>
        <v>46</v>
      </c>
    </row>
    <row r="3" spans="1:47" ht="15" customHeight="1" x14ac:dyDescent="0.35">
      <c r="A3" t="s">
        <v>137</v>
      </c>
      <c r="C3" s="123" t="str">
        <f>"D1 - Qualidade global [%]"&amp;" - "&amp;'Critérios'!G19*100&amp;"%"</f>
        <v>D1 - Qualidade global [%] - 20%</v>
      </c>
      <c r="D3" s="124"/>
      <c r="E3" s="124"/>
      <c r="F3" s="124"/>
      <c r="G3" s="124"/>
      <c r="H3" s="124"/>
      <c r="I3" s="124"/>
      <c r="J3" s="125"/>
      <c r="K3" s="138" t="str">
        <f>"D2 - Bases da proposta [%]"&amp;" - "&amp;'Critérios'!G20*100&amp;"%"</f>
        <v>D2 - Bases da proposta [%] - 20%</v>
      </c>
      <c r="L3" s="139"/>
      <c r="M3" s="139"/>
      <c r="N3" s="140"/>
      <c r="O3" s="141" t="str">
        <f>"D3 - Cronograma [%]"&amp;" - "&amp;'Critérios'!G21*100&amp;"%"</f>
        <v>D3 - Cronograma [%] - 20%</v>
      </c>
      <c r="P3" s="142"/>
      <c r="Q3" s="143" t="str">
        <f>"D4 - Estratégia de M&amp;V [%]"&amp;" - "&amp;'Critérios'!G22*100&amp;"%"</f>
        <v>D4 - Estratégia de M&amp;V [%] - 40%</v>
      </c>
      <c r="R3" s="144"/>
      <c r="S3" s="144"/>
      <c r="T3" s="145"/>
      <c r="U3" s="146" t="str">
        <f>"E1 - Quebra de barreiras [%]"&amp;" - "&amp;'Critérios'!G24*100&amp;"%"</f>
        <v>E1 - Quebra de barreiras [%] - 25%</v>
      </c>
      <c r="V3" s="147"/>
      <c r="W3" s="148"/>
      <c r="X3" s="149" t="str">
        <f>"E2 - Induz comportamentos eficientes [%]"&amp;" - "&amp;'Critérios'!G25*100&amp;"%"</f>
        <v>E2 - Induz comportamentos eficientes [%] - 25%</v>
      </c>
      <c r="Y3" s="150"/>
      <c r="Z3" s="150"/>
      <c r="AA3" s="151"/>
      <c r="AB3" s="152" t="str">
        <f>"E3 - Segmentos com barreiras [%]"&amp;" - "&amp;'Critérios'!G26*100&amp;"%"</f>
        <v>E3 - Segmentos com barreiras [%] - 50%</v>
      </c>
      <c r="AC3" s="153"/>
      <c r="AD3" s="154"/>
      <c r="AE3" s="126" t="str">
        <f>"F1 - Experiência nos usos finais propostos [%]"&amp;" - "&amp;'Critérios'!G28*100&amp;"%"</f>
        <v>F1 - Experiência nos usos finais propostos [%] - 30%</v>
      </c>
      <c r="AF3" s="127"/>
      <c r="AG3" s="127"/>
      <c r="AH3" s="127"/>
      <c r="AI3" s="127"/>
      <c r="AJ3" s="128"/>
      <c r="AK3" s="129" t="str">
        <f>"F2 - Experiência no PEE [%]"&amp;" - "&amp;'Critérios'!G29*100&amp;"%"</f>
        <v>F2 - Experiência no PEE [%] - 30%</v>
      </c>
      <c r="AL3" s="130"/>
      <c r="AM3" s="130"/>
      <c r="AN3" s="131"/>
      <c r="AO3" s="132" t="str">
        <f>"F3 - Certificação CMVP da EVO[%]"&amp;" - "&amp;'Critérios'!G30*100&amp;"%"</f>
        <v>F3 - Certificação CMVP da EVO[%] - 20%</v>
      </c>
      <c r="AP3" s="133"/>
      <c r="AQ3" s="133"/>
      <c r="AR3" s="134"/>
      <c r="AS3" s="135" t="str">
        <f>"F4 - Outras certificações pertinentes[%]"&amp;" - "&amp;'Critérios'!G31*100&amp;"%"</f>
        <v>F4 - Outras certificações pertinentes[%] - 20%</v>
      </c>
      <c r="AT3" s="136"/>
      <c r="AU3" s="137"/>
    </row>
    <row r="4" spans="1:47" ht="162" customHeight="1" x14ac:dyDescent="0.35">
      <c r="C4" s="86" t="s">
        <v>157</v>
      </c>
      <c r="D4" s="86" t="s">
        <v>138</v>
      </c>
      <c r="E4" s="86" t="s">
        <v>139</v>
      </c>
      <c r="F4" s="86" t="s">
        <v>150</v>
      </c>
      <c r="G4" s="86" t="s">
        <v>168</v>
      </c>
      <c r="H4" s="86" t="s">
        <v>169</v>
      </c>
      <c r="I4" s="86" t="s">
        <v>153</v>
      </c>
      <c r="J4" s="97" t="s">
        <v>136</v>
      </c>
      <c r="K4" s="87" t="s">
        <v>152</v>
      </c>
      <c r="L4" s="87" t="s">
        <v>151</v>
      </c>
      <c r="M4" s="87" t="s">
        <v>162</v>
      </c>
      <c r="N4" s="98" t="s">
        <v>136</v>
      </c>
      <c r="O4" s="88" t="s">
        <v>176</v>
      </c>
      <c r="P4" s="99" t="s">
        <v>136</v>
      </c>
      <c r="Q4" s="89" t="s">
        <v>170</v>
      </c>
      <c r="R4" s="89" t="s">
        <v>171</v>
      </c>
      <c r="S4" s="89" t="s">
        <v>172</v>
      </c>
      <c r="T4" s="100" t="s">
        <v>136</v>
      </c>
      <c r="U4" s="90" t="s">
        <v>140</v>
      </c>
      <c r="V4" s="90" t="s">
        <v>141</v>
      </c>
      <c r="W4" s="101" t="s">
        <v>136</v>
      </c>
      <c r="X4" s="91" t="s">
        <v>142</v>
      </c>
      <c r="Y4" s="91" t="s">
        <v>143</v>
      </c>
      <c r="Z4" s="91" t="s">
        <v>173</v>
      </c>
      <c r="AA4" s="102" t="s">
        <v>136</v>
      </c>
      <c r="AB4" s="92" t="s">
        <v>148</v>
      </c>
      <c r="AC4" s="92" t="s">
        <v>149</v>
      </c>
      <c r="AD4" s="103" t="s">
        <v>136</v>
      </c>
      <c r="AE4" s="93" t="s">
        <v>163</v>
      </c>
      <c r="AF4" s="93" t="s">
        <v>164</v>
      </c>
      <c r="AG4" s="93" t="s">
        <v>165</v>
      </c>
      <c r="AH4" s="93" t="s">
        <v>166</v>
      </c>
      <c r="AI4" s="93" t="s">
        <v>167</v>
      </c>
      <c r="AJ4" s="104" t="s">
        <v>136</v>
      </c>
      <c r="AK4" s="94" t="s">
        <v>144</v>
      </c>
      <c r="AL4" s="94" t="s">
        <v>145</v>
      </c>
      <c r="AM4" s="94" t="s">
        <v>146</v>
      </c>
      <c r="AN4" s="105" t="s">
        <v>136</v>
      </c>
      <c r="AO4" s="95" t="s">
        <v>147</v>
      </c>
      <c r="AP4" s="95" t="s">
        <v>174</v>
      </c>
      <c r="AQ4" s="95" t="s">
        <v>175</v>
      </c>
      <c r="AR4" s="106" t="s">
        <v>136</v>
      </c>
      <c r="AS4" s="96" t="s">
        <v>158</v>
      </c>
      <c r="AT4" s="96" t="s">
        <v>159</v>
      </c>
      <c r="AU4" s="107" t="s">
        <v>136</v>
      </c>
    </row>
    <row r="5" spans="1:47" x14ac:dyDescent="0.35">
      <c r="B5" s="83">
        <f>Dados!$A12</f>
        <v>0</v>
      </c>
      <c r="C5" s="69" t="s">
        <v>135</v>
      </c>
      <c r="D5" s="69" t="s">
        <v>135</v>
      </c>
      <c r="E5" s="69" t="s">
        <v>135</v>
      </c>
      <c r="F5" s="69" t="s">
        <v>135</v>
      </c>
      <c r="G5" s="69" t="s">
        <v>135</v>
      </c>
      <c r="H5" s="69" t="s">
        <v>135</v>
      </c>
      <c r="I5" s="69" t="s">
        <v>137</v>
      </c>
      <c r="J5" s="84">
        <f>(1/(COUNTBLANK(C5:I5)+COUNTA(C5:I5))*COUNTIF(C5:I5,"sim"))</f>
        <v>0.8571428571428571</v>
      </c>
      <c r="K5" s="69" t="s">
        <v>135</v>
      </c>
      <c r="L5" s="69" t="s">
        <v>135</v>
      </c>
      <c r="M5" s="69" t="s">
        <v>135</v>
      </c>
      <c r="N5" s="84">
        <f t="shared" ref="N5:N25" si="0">(1/(COUNTBLANK(K5:M5)+COUNTA(K5:M5))*COUNTIF(K5:M5,"sim"))</f>
        <v>1</v>
      </c>
      <c r="O5" s="69" t="s">
        <v>135</v>
      </c>
      <c r="P5" s="84">
        <f t="shared" ref="P5:P25" si="1">(1/(COUNTBLANK(O5:O5)+COUNTA(O5:O5))*COUNTIF(O5:O5,"sim"))</f>
        <v>1</v>
      </c>
      <c r="Q5" s="69" t="s">
        <v>135</v>
      </c>
      <c r="R5" s="69" t="s">
        <v>137</v>
      </c>
      <c r="S5" s="69" t="s">
        <v>137</v>
      </c>
      <c r="T5" s="84">
        <f>(1/(COUNTBLANK(Q5:S5)+COUNTA(Q5:S5))*COUNTIF(Q5:S5,"sim"))</f>
        <v>0.33333333333333331</v>
      </c>
      <c r="U5" s="69" t="s">
        <v>135</v>
      </c>
      <c r="V5" s="69" t="s">
        <v>137</v>
      </c>
      <c r="W5" s="84">
        <f>(1/(COUNTBLANK(U5:V5)+COUNTA(U5:V5))*COUNTIF(U5:V5,"sim"))</f>
        <v>0.5</v>
      </c>
      <c r="X5" s="69" t="s">
        <v>135</v>
      </c>
      <c r="Y5" s="69" t="s">
        <v>137</v>
      </c>
      <c r="Z5" s="69" t="s">
        <v>137</v>
      </c>
      <c r="AA5" s="84">
        <f>(1/(COUNTBLANK(X5:Z5)+COUNTA(X5:Z5))*COUNTIF(X5:Z5,"sim"))</f>
        <v>0.33333333333333331</v>
      </c>
      <c r="AB5" s="69" t="s">
        <v>135</v>
      </c>
      <c r="AC5" s="69" t="s">
        <v>137</v>
      </c>
      <c r="AD5" s="84">
        <f>IF(AB5="sim",100%, IF(AC5="sim",50%, 0%))</f>
        <v>1</v>
      </c>
      <c r="AE5" s="69" t="s">
        <v>135</v>
      </c>
      <c r="AF5" s="69" t="s">
        <v>135</v>
      </c>
      <c r="AG5" s="69" t="s">
        <v>135</v>
      </c>
      <c r="AH5" s="69" t="s">
        <v>135</v>
      </c>
      <c r="AI5" s="69" t="s">
        <v>135</v>
      </c>
      <c r="AJ5" s="84">
        <f>IF(AE5="sim", 2/5, 0)+IF(AF5="sim", 1/5, 0)+IF(AG5="sim", 1/10, 0)+IF(AH5="sim", 1/5, 0)+IF(AI5="sim", 1/10, 0)</f>
        <v>1.0000000000000002</v>
      </c>
      <c r="AK5" s="69" t="s">
        <v>137</v>
      </c>
      <c r="AL5" s="69" t="s">
        <v>135</v>
      </c>
      <c r="AM5" s="69" t="s">
        <v>137</v>
      </c>
      <c r="AN5" s="84">
        <f>(1/(COUNTBLANK(AK5:AM5)+COUNTA(AK5:AM5))*COUNTIF(AK5:AM5,"sim"))</f>
        <v>0.33333333333333331</v>
      </c>
      <c r="AO5" s="69" t="s">
        <v>135</v>
      </c>
      <c r="AP5" s="69" t="s">
        <v>135</v>
      </c>
      <c r="AQ5" s="69" t="s">
        <v>135</v>
      </c>
      <c r="AR5" s="84">
        <f>IF(AO5="sim", 2/4, 0)+IF(AP5="sim", 1/4, 0)+IF(AQ5="sim", 1/4, 0)</f>
        <v>1</v>
      </c>
      <c r="AS5" s="69" t="s">
        <v>135</v>
      </c>
      <c r="AT5" s="69" t="s">
        <v>137</v>
      </c>
      <c r="AU5" s="84">
        <f>IF(AS5="sim",100%, IF(AT5="sim",50%, 0%))</f>
        <v>1</v>
      </c>
    </row>
    <row r="6" spans="1:47" x14ac:dyDescent="0.35">
      <c r="B6" s="82">
        <f>Dados!$A13</f>
        <v>0</v>
      </c>
      <c r="C6" s="70" t="s">
        <v>135</v>
      </c>
      <c r="D6" s="70" t="s">
        <v>135</v>
      </c>
      <c r="E6" s="70" t="s">
        <v>137</v>
      </c>
      <c r="F6" s="70" t="s">
        <v>137</v>
      </c>
      <c r="G6" s="70" t="s">
        <v>137</v>
      </c>
      <c r="H6" s="70" t="s">
        <v>137</v>
      </c>
      <c r="I6" s="70" t="s">
        <v>137</v>
      </c>
      <c r="J6" s="85">
        <f t="shared" ref="J6:J10" si="2">(1/(COUNTBLANK(C6:I6)+COUNTA(C6:I6))*COUNTIF(C6:I6,"sim"))</f>
        <v>0.2857142857142857</v>
      </c>
      <c r="K6" s="70" t="s">
        <v>135</v>
      </c>
      <c r="L6" s="70" t="s">
        <v>135</v>
      </c>
      <c r="M6" s="70" t="s">
        <v>137</v>
      </c>
      <c r="N6" s="85">
        <f t="shared" si="0"/>
        <v>0.66666666666666663</v>
      </c>
      <c r="O6" s="70" t="s">
        <v>135</v>
      </c>
      <c r="P6" s="85">
        <f t="shared" si="1"/>
        <v>1</v>
      </c>
      <c r="Q6" s="70" t="s">
        <v>135</v>
      </c>
      <c r="R6" s="70" t="s">
        <v>135</v>
      </c>
      <c r="S6" s="70" t="s">
        <v>137</v>
      </c>
      <c r="T6" s="85">
        <f t="shared" ref="T6:T25" si="3">(1/(COUNTBLANK(Q6:S6)+COUNTA(Q6:S6))*COUNTIF(Q6:S6,"sim"))</f>
        <v>0.66666666666666663</v>
      </c>
      <c r="U6" s="70" t="s">
        <v>135</v>
      </c>
      <c r="V6" s="70" t="s">
        <v>135</v>
      </c>
      <c r="W6" s="85">
        <f t="shared" ref="W6:W25" si="4">(1/(COUNTBLANK(U6:V6)+COUNTA(U6:V6))*COUNTIF(U6:V6,"sim"))</f>
        <v>1</v>
      </c>
      <c r="X6" s="70" t="s">
        <v>135</v>
      </c>
      <c r="Y6" s="70" t="s">
        <v>135</v>
      </c>
      <c r="Z6" s="70" t="s">
        <v>137</v>
      </c>
      <c r="AA6" s="85">
        <f t="shared" ref="AA6:AA25" si="5">(1/(COUNTBLANK(X6:Z6)+COUNTA(X6:Z6))*COUNTIF(X6:Z6,"sim"))</f>
        <v>0.66666666666666663</v>
      </c>
      <c r="AB6" s="70" t="s">
        <v>137</v>
      </c>
      <c r="AC6" s="70" t="s">
        <v>135</v>
      </c>
      <c r="AD6" s="85">
        <f t="shared" ref="AD6:AD25" si="6">(1/(COUNTBLANK(AB6:AC6)+COUNTA(AB6:AC6))*COUNTIF(AB6:AC6,"sim"))</f>
        <v>0.5</v>
      </c>
      <c r="AE6" s="70" t="s">
        <v>135</v>
      </c>
      <c r="AF6" s="70" t="s">
        <v>135</v>
      </c>
      <c r="AG6" s="70" t="s">
        <v>137</v>
      </c>
      <c r="AH6" s="70" t="s">
        <v>137</v>
      </c>
      <c r="AI6" s="70" t="s">
        <v>137</v>
      </c>
      <c r="AJ6" s="84">
        <f t="shared" ref="AJ6:AJ25" si="7">IF(AE6="sim", 2/5, 0)+IF(AF6="sim", 1/5, 0)+IF(AG6="sim", 1/10, 0)+IF(AH6="sim", 1/5, 0)+IF(AI6="sim", 1/10, 0)</f>
        <v>0.60000000000000009</v>
      </c>
      <c r="AK6" s="70" t="s">
        <v>135</v>
      </c>
      <c r="AL6" s="70" t="s">
        <v>135</v>
      </c>
      <c r="AM6" s="70" t="s">
        <v>137</v>
      </c>
      <c r="AN6" s="85">
        <f t="shared" ref="AN6:AN25" si="8">(1/(COUNTBLANK(AK6:AM6)+COUNTA(AK6:AM6))*COUNTIF(AK6:AM6,"sim"))</f>
        <v>0.66666666666666663</v>
      </c>
      <c r="AO6" s="70" t="s">
        <v>135</v>
      </c>
      <c r="AP6" s="70" t="s">
        <v>135</v>
      </c>
      <c r="AQ6" s="70" t="s">
        <v>135</v>
      </c>
      <c r="AR6" s="84">
        <f t="shared" ref="AR6:AR25" si="9">IF(AO6="sim", 2/4, 0)+IF(AP6="sim", 1/4, 0)+IF(AQ6="sim", 1/4, 0)</f>
        <v>1</v>
      </c>
      <c r="AS6" s="70" t="s">
        <v>137</v>
      </c>
      <c r="AT6" s="70" t="s">
        <v>135</v>
      </c>
      <c r="AU6" s="85">
        <f t="shared" ref="AU6:AU25" si="10">IF(AS6="sim",100%, IF(AT6="sim",50%, 0%))</f>
        <v>0.5</v>
      </c>
    </row>
    <row r="7" spans="1:47" x14ac:dyDescent="0.35">
      <c r="B7" s="83">
        <f>Dados!$A14</f>
        <v>0</v>
      </c>
      <c r="C7" s="69" t="s">
        <v>135</v>
      </c>
      <c r="D7" s="69" t="s">
        <v>135</v>
      </c>
      <c r="E7" s="69" t="s">
        <v>135</v>
      </c>
      <c r="F7" s="69" t="s">
        <v>137</v>
      </c>
      <c r="G7" s="69" t="s">
        <v>137</v>
      </c>
      <c r="H7" s="69" t="s">
        <v>137</v>
      </c>
      <c r="I7" s="69" t="s">
        <v>137</v>
      </c>
      <c r="J7" s="84">
        <f t="shared" si="2"/>
        <v>0.42857142857142855</v>
      </c>
      <c r="K7" s="69" t="s">
        <v>135</v>
      </c>
      <c r="L7" s="69" t="s">
        <v>135</v>
      </c>
      <c r="M7" s="69" t="s">
        <v>135</v>
      </c>
      <c r="N7" s="84">
        <f t="shared" si="0"/>
        <v>1</v>
      </c>
      <c r="O7" s="69" t="s">
        <v>135</v>
      </c>
      <c r="P7" s="84">
        <f t="shared" si="1"/>
        <v>1</v>
      </c>
      <c r="Q7" s="69" t="s">
        <v>135</v>
      </c>
      <c r="R7" s="69" t="s">
        <v>135</v>
      </c>
      <c r="S7" s="69" t="s">
        <v>135</v>
      </c>
      <c r="T7" s="84">
        <f t="shared" si="3"/>
        <v>1</v>
      </c>
      <c r="U7" s="69" t="s">
        <v>137</v>
      </c>
      <c r="V7" s="69" t="s">
        <v>137</v>
      </c>
      <c r="W7" s="84">
        <f t="shared" si="4"/>
        <v>0</v>
      </c>
      <c r="X7" s="69" t="s">
        <v>135</v>
      </c>
      <c r="Y7" s="69" t="s">
        <v>135</v>
      </c>
      <c r="Z7" s="69" t="s">
        <v>135</v>
      </c>
      <c r="AA7" s="84">
        <f t="shared" si="5"/>
        <v>1</v>
      </c>
      <c r="AB7" s="69" t="s">
        <v>137</v>
      </c>
      <c r="AC7" s="69" t="s">
        <v>137</v>
      </c>
      <c r="AD7" s="84">
        <f t="shared" si="6"/>
        <v>0</v>
      </c>
      <c r="AE7" s="69" t="s">
        <v>135</v>
      </c>
      <c r="AF7" s="69" t="s">
        <v>135</v>
      </c>
      <c r="AG7" s="69" t="s">
        <v>135</v>
      </c>
      <c r="AH7" s="69" t="s">
        <v>137</v>
      </c>
      <c r="AI7" s="69" t="s">
        <v>137</v>
      </c>
      <c r="AJ7" s="84">
        <f t="shared" si="7"/>
        <v>0.70000000000000007</v>
      </c>
      <c r="AK7" s="69" t="s">
        <v>135</v>
      </c>
      <c r="AL7" s="69" t="s">
        <v>135</v>
      </c>
      <c r="AM7" s="69" t="s">
        <v>135</v>
      </c>
      <c r="AN7" s="84">
        <f t="shared" si="8"/>
        <v>1</v>
      </c>
      <c r="AO7" s="69" t="s">
        <v>137</v>
      </c>
      <c r="AP7" s="69" t="s">
        <v>135</v>
      </c>
      <c r="AQ7" s="69" t="s">
        <v>135</v>
      </c>
      <c r="AR7" s="84">
        <f t="shared" si="9"/>
        <v>0.5</v>
      </c>
      <c r="AS7" s="69" t="s">
        <v>135</v>
      </c>
      <c r="AT7" s="69" t="s">
        <v>135</v>
      </c>
      <c r="AU7" s="84">
        <f t="shared" si="10"/>
        <v>1</v>
      </c>
    </row>
    <row r="8" spans="1:47" x14ac:dyDescent="0.35">
      <c r="B8" s="82">
        <f>Dados!$A15</f>
        <v>0</v>
      </c>
      <c r="C8" s="70" t="s">
        <v>135</v>
      </c>
      <c r="D8" s="70" t="s">
        <v>135</v>
      </c>
      <c r="E8" s="70" t="s">
        <v>135</v>
      </c>
      <c r="F8" s="70" t="s">
        <v>135</v>
      </c>
      <c r="G8" s="70" t="s">
        <v>137</v>
      </c>
      <c r="H8" s="70" t="s">
        <v>137</v>
      </c>
      <c r="I8" s="70" t="s">
        <v>137</v>
      </c>
      <c r="J8" s="85">
        <f t="shared" si="2"/>
        <v>0.5714285714285714</v>
      </c>
      <c r="K8" s="70" t="s">
        <v>135</v>
      </c>
      <c r="L8" s="70" t="s">
        <v>135</v>
      </c>
      <c r="M8" s="70" t="s">
        <v>135</v>
      </c>
      <c r="N8" s="85">
        <f t="shared" si="0"/>
        <v>1</v>
      </c>
      <c r="O8" s="70" t="s">
        <v>135</v>
      </c>
      <c r="P8" s="85">
        <f t="shared" si="1"/>
        <v>1</v>
      </c>
      <c r="Q8" s="70" t="s">
        <v>137</v>
      </c>
      <c r="R8" s="70" t="s">
        <v>137</v>
      </c>
      <c r="S8" s="70" t="s">
        <v>137</v>
      </c>
      <c r="T8" s="85">
        <f t="shared" si="3"/>
        <v>0</v>
      </c>
      <c r="U8" s="70" t="s">
        <v>137</v>
      </c>
      <c r="V8" s="70" t="s">
        <v>137</v>
      </c>
      <c r="W8" s="85">
        <f t="shared" si="4"/>
        <v>0</v>
      </c>
      <c r="X8" s="70" t="s">
        <v>137</v>
      </c>
      <c r="Y8" s="70" t="s">
        <v>137</v>
      </c>
      <c r="Z8" s="70" t="s">
        <v>137</v>
      </c>
      <c r="AA8" s="85">
        <f t="shared" si="5"/>
        <v>0</v>
      </c>
      <c r="AB8" s="70" t="s">
        <v>137</v>
      </c>
      <c r="AC8" s="70" t="s">
        <v>137</v>
      </c>
      <c r="AD8" s="85">
        <f t="shared" si="6"/>
        <v>0</v>
      </c>
      <c r="AE8" s="70" t="s">
        <v>135</v>
      </c>
      <c r="AF8" s="70" t="s">
        <v>135</v>
      </c>
      <c r="AG8" s="70" t="s">
        <v>135</v>
      </c>
      <c r="AH8" s="70" t="s">
        <v>135</v>
      </c>
      <c r="AI8" s="70" t="s">
        <v>137</v>
      </c>
      <c r="AJ8" s="84">
        <f t="shared" si="7"/>
        <v>0.90000000000000013</v>
      </c>
      <c r="AK8" s="70" t="s">
        <v>137</v>
      </c>
      <c r="AL8" s="70" t="s">
        <v>137</v>
      </c>
      <c r="AM8" s="70" t="s">
        <v>137</v>
      </c>
      <c r="AN8" s="85">
        <f t="shared" si="8"/>
        <v>0</v>
      </c>
      <c r="AO8" s="70" t="s">
        <v>137</v>
      </c>
      <c r="AP8" s="70" t="s">
        <v>137</v>
      </c>
      <c r="AQ8" s="70" t="s">
        <v>135</v>
      </c>
      <c r="AR8" s="84">
        <f t="shared" si="9"/>
        <v>0.25</v>
      </c>
      <c r="AS8" s="70" t="s">
        <v>137</v>
      </c>
      <c r="AT8" s="70" t="s">
        <v>137</v>
      </c>
      <c r="AU8" s="85">
        <f t="shared" si="10"/>
        <v>0</v>
      </c>
    </row>
    <row r="9" spans="1:47" x14ac:dyDescent="0.35">
      <c r="B9" s="83">
        <f>Dados!$A16</f>
        <v>0</v>
      </c>
      <c r="C9" s="69" t="s">
        <v>135</v>
      </c>
      <c r="D9" s="69" t="s">
        <v>135</v>
      </c>
      <c r="E9" s="69" t="s">
        <v>135</v>
      </c>
      <c r="F9" s="69" t="s">
        <v>135</v>
      </c>
      <c r="G9" s="69" t="s">
        <v>135</v>
      </c>
      <c r="H9" s="69" t="s">
        <v>137</v>
      </c>
      <c r="I9" s="69" t="s">
        <v>137</v>
      </c>
      <c r="J9" s="84">
        <f t="shared" si="2"/>
        <v>0.71428571428571419</v>
      </c>
      <c r="K9" s="69" t="s">
        <v>137</v>
      </c>
      <c r="L9" s="69" t="s">
        <v>137</v>
      </c>
      <c r="M9" s="69" t="s">
        <v>135</v>
      </c>
      <c r="N9" s="84">
        <f t="shared" si="0"/>
        <v>0.33333333333333331</v>
      </c>
      <c r="O9" s="69" t="s">
        <v>135</v>
      </c>
      <c r="P9" s="84">
        <f t="shared" si="1"/>
        <v>1</v>
      </c>
      <c r="Q9" s="69" t="s">
        <v>137</v>
      </c>
      <c r="R9" s="69" t="s">
        <v>137</v>
      </c>
      <c r="S9" s="69" t="s">
        <v>137</v>
      </c>
      <c r="T9" s="84">
        <f t="shared" si="3"/>
        <v>0</v>
      </c>
      <c r="U9" s="69" t="s">
        <v>137</v>
      </c>
      <c r="V9" s="69" t="s">
        <v>137</v>
      </c>
      <c r="W9" s="84">
        <f t="shared" si="4"/>
        <v>0</v>
      </c>
      <c r="X9" s="69" t="s">
        <v>137</v>
      </c>
      <c r="Y9" s="69" t="s">
        <v>137</v>
      </c>
      <c r="Z9" s="69" t="s">
        <v>137</v>
      </c>
      <c r="AA9" s="84">
        <f t="shared" si="5"/>
        <v>0</v>
      </c>
      <c r="AB9" s="69" t="s">
        <v>137</v>
      </c>
      <c r="AC9" s="69" t="s">
        <v>137</v>
      </c>
      <c r="AD9" s="84">
        <f t="shared" si="6"/>
        <v>0</v>
      </c>
      <c r="AE9" s="69" t="s">
        <v>135</v>
      </c>
      <c r="AF9" s="69" t="s">
        <v>135</v>
      </c>
      <c r="AG9" s="69" t="s">
        <v>135</v>
      </c>
      <c r="AH9" s="69" t="s">
        <v>135</v>
      </c>
      <c r="AI9" s="69" t="s">
        <v>135</v>
      </c>
      <c r="AJ9" s="84">
        <f t="shared" si="7"/>
        <v>1.0000000000000002</v>
      </c>
      <c r="AK9" s="69" t="s">
        <v>137</v>
      </c>
      <c r="AL9" s="69" t="s">
        <v>137</v>
      </c>
      <c r="AM9" s="69" t="s">
        <v>137</v>
      </c>
      <c r="AN9" s="84">
        <f t="shared" si="8"/>
        <v>0</v>
      </c>
      <c r="AO9" s="69" t="s">
        <v>135</v>
      </c>
      <c r="AP9" s="69" t="s">
        <v>137</v>
      </c>
      <c r="AQ9" s="69" t="s">
        <v>135</v>
      </c>
      <c r="AR9" s="84">
        <f t="shared" si="9"/>
        <v>0.75</v>
      </c>
      <c r="AS9" s="69" t="s">
        <v>137</v>
      </c>
      <c r="AT9" s="69" t="s">
        <v>137</v>
      </c>
      <c r="AU9" s="84">
        <f t="shared" si="10"/>
        <v>0</v>
      </c>
    </row>
    <row r="10" spans="1:47" x14ac:dyDescent="0.35">
      <c r="B10" s="82">
        <f>Dados!$A17</f>
        <v>0</v>
      </c>
      <c r="C10" s="70" t="s">
        <v>135</v>
      </c>
      <c r="D10" s="70" t="s">
        <v>135</v>
      </c>
      <c r="E10" s="70" t="s">
        <v>135</v>
      </c>
      <c r="F10" s="70" t="s">
        <v>135</v>
      </c>
      <c r="G10" s="70" t="s">
        <v>135</v>
      </c>
      <c r="H10" s="70" t="s">
        <v>135</v>
      </c>
      <c r="I10" s="70" t="s">
        <v>137</v>
      </c>
      <c r="J10" s="85">
        <f t="shared" si="2"/>
        <v>0.8571428571428571</v>
      </c>
      <c r="K10" s="70" t="s">
        <v>137</v>
      </c>
      <c r="L10" s="70" t="s">
        <v>135</v>
      </c>
      <c r="M10" s="70" t="s">
        <v>135</v>
      </c>
      <c r="N10" s="85">
        <f t="shared" si="0"/>
        <v>0.66666666666666663</v>
      </c>
      <c r="O10" s="70" t="s">
        <v>135</v>
      </c>
      <c r="P10" s="85">
        <f t="shared" si="1"/>
        <v>1</v>
      </c>
      <c r="Q10" s="70" t="s">
        <v>137</v>
      </c>
      <c r="R10" s="70" t="s">
        <v>137</v>
      </c>
      <c r="S10" s="70" t="s">
        <v>137</v>
      </c>
      <c r="T10" s="85">
        <f t="shared" si="3"/>
        <v>0</v>
      </c>
      <c r="U10" s="70" t="s">
        <v>137</v>
      </c>
      <c r="V10" s="70" t="s">
        <v>137</v>
      </c>
      <c r="W10" s="85">
        <f t="shared" si="4"/>
        <v>0</v>
      </c>
      <c r="X10" s="70" t="s">
        <v>137</v>
      </c>
      <c r="Y10" s="70" t="s">
        <v>137</v>
      </c>
      <c r="Z10" s="70" t="s">
        <v>137</v>
      </c>
      <c r="AA10" s="85">
        <f t="shared" si="5"/>
        <v>0</v>
      </c>
      <c r="AB10" s="70" t="s">
        <v>137</v>
      </c>
      <c r="AC10" s="70" t="s">
        <v>137</v>
      </c>
      <c r="AD10" s="85">
        <f t="shared" si="6"/>
        <v>0</v>
      </c>
      <c r="AE10" s="70" t="s">
        <v>137</v>
      </c>
      <c r="AF10" s="70" t="s">
        <v>137</v>
      </c>
      <c r="AG10" s="70" t="s">
        <v>137</v>
      </c>
      <c r="AH10" s="70" t="s">
        <v>137</v>
      </c>
      <c r="AI10" s="70" t="s">
        <v>137</v>
      </c>
      <c r="AJ10" s="84">
        <f t="shared" si="7"/>
        <v>0</v>
      </c>
      <c r="AK10" s="70" t="s">
        <v>137</v>
      </c>
      <c r="AL10" s="70" t="s">
        <v>137</v>
      </c>
      <c r="AM10" s="70" t="s">
        <v>137</v>
      </c>
      <c r="AN10" s="85">
        <f t="shared" si="8"/>
        <v>0</v>
      </c>
      <c r="AO10" s="70" t="s">
        <v>137</v>
      </c>
      <c r="AP10" s="70" t="s">
        <v>137</v>
      </c>
      <c r="AQ10" s="70" t="s">
        <v>135</v>
      </c>
      <c r="AR10" s="84">
        <f t="shared" si="9"/>
        <v>0.25</v>
      </c>
      <c r="AS10" s="70" t="s">
        <v>137</v>
      </c>
      <c r="AT10" s="70" t="s">
        <v>137</v>
      </c>
      <c r="AU10" s="85">
        <f t="shared" si="10"/>
        <v>0</v>
      </c>
    </row>
    <row r="11" spans="1:47" x14ac:dyDescent="0.35">
      <c r="B11" s="83">
        <f>Dados!$A18</f>
        <v>0</v>
      </c>
      <c r="C11" s="69" t="s">
        <v>135</v>
      </c>
      <c r="D11" s="69" t="s">
        <v>135</v>
      </c>
      <c r="E11" s="69" t="s">
        <v>135</v>
      </c>
      <c r="F11" s="69" t="s">
        <v>135</v>
      </c>
      <c r="G11" s="69" t="s">
        <v>135</v>
      </c>
      <c r="H11" s="69" t="s">
        <v>135</v>
      </c>
      <c r="I11" s="69" t="s">
        <v>135</v>
      </c>
      <c r="J11" s="84">
        <f>(1/(COUNTBLANK(C11:I11)+COUNTA(C11:I11))*COUNTIF(C11:I11,"sim"))</f>
        <v>1</v>
      </c>
      <c r="K11" s="69" t="s">
        <v>137</v>
      </c>
      <c r="L11" s="69" t="s">
        <v>137</v>
      </c>
      <c r="M11" s="69" t="s">
        <v>137</v>
      </c>
      <c r="N11" s="84">
        <f t="shared" si="0"/>
        <v>0</v>
      </c>
      <c r="O11" s="69" t="s">
        <v>135</v>
      </c>
      <c r="P11" s="84">
        <f t="shared" si="1"/>
        <v>1</v>
      </c>
      <c r="Q11" s="69" t="s">
        <v>137</v>
      </c>
      <c r="R11" s="69" t="s">
        <v>137</v>
      </c>
      <c r="S11" s="69" t="s">
        <v>137</v>
      </c>
      <c r="T11" s="84">
        <f t="shared" si="3"/>
        <v>0</v>
      </c>
      <c r="U11" s="69" t="s">
        <v>137</v>
      </c>
      <c r="V11" s="69" t="s">
        <v>137</v>
      </c>
      <c r="W11" s="84">
        <f t="shared" si="4"/>
        <v>0</v>
      </c>
      <c r="X11" s="69" t="s">
        <v>137</v>
      </c>
      <c r="Y11" s="69" t="s">
        <v>137</v>
      </c>
      <c r="Z11" s="69" t="s">
        <v>137</v>
      </c>
      <c r="AA11" s="84">
        <f t="shared" si="5"/>
        <v>0</v>
      </c>
      <c r="AB11" s="69" t="s">
        <v>137</v>
      </c>
      <c r="AC11" s="69" t="s">
        <v>137</v>
      </c>
      <c r="AD11" s="84">
        <f t="shared" si="6"/>
        <v>0</v>
      </c>
      <c r="AE11" s="69" t="s">
        <v>137</v>
      </c>
      <c r="AF11" s="69" t="s">
        <v>137</v>
      </c>
      <c r="AG11" s="69" t="s">
        <v>137</v>
      </c>
      <c r="AH11" s="69" t="s">
        <v>137</v>
      </c>
      <c r="AI11" s="69" t="s">
        <v>137</v>
      </c>
      <c r="AJ11" s="84">
        <f t="shared" si="7"/>
        <v>0</v>
      </c>
      <c r="AK11" s="69" t="s">
        <v>137</v>
      </c>
      <c r="AL11" s="69" t="s">
        <v>137</v>
      </c>
      <c r="AM11" s="69" t="s">
        <v>137</v>
      </c>
      <c r="AN11" s="84">
        <f t="shared" si="8"/>
        <v>0</v>
      </c>
      <c r="AO11" s="69" t="s">
        <v>137</v>
      </c>
      <c r="AP11" s="69" t="s">
        <v>137</v>
      </c>
      <c r="AQ11" s="69" t="s">
        <v>135</v>
      </c>
      <c r="AR11" s="84">
        <f t="shared" si="9"/>
        <v>0.25</v>
      </c>
      <c r="AS11" s="69" t="s">
        <v>137</v>
      </c>
      <c r="AT11" s="69" t="s">
        <v>137</v>
      </c>
      <c r="AU11" s="84">
        <f t="shared" si="10"/>
        <v>0</v>
      </c>
    </row>
    <row r="12" spans="1:47" x14ac:dyDescent="0.35">
      <c r="B12" s="82">
        <f>Dados!$A19</f>
        <v>0</v>
      </c>
      <c r="C12" s="70" t="s">
        <v>137</v>
      </c>
      <c r="D12" s="70" t="s">
        <v>137</v>
      </c>
      <c r="E12" s="70" t="s">
        <v>137</v>
      </c>
      <c r="F12" s="70" t="s">
        <v>137</v>
      </c>
      <c r="G12" s="70" t="s">
        <v>137</v>
      </c>
      <c r="H12" s="70" t="s">
        <v>137</v>
      </c>
      <c r="I12" s="70" t="s">
        <v>137</v>
      </c>
      <c r="J12" s="85">
        <f t="shared" ref="J12:J25" si="11">(1/(COUNTBLANK(C12:I12)+COUNTA(C12:I12))*COUNTIF(C12:I12,"sim"))</f>
        <v>0</v>
      </c>
      <c r="K12" s="70" t="s">
        <v>137</v>
      </c>
      <c r="L12" s="70" t="s">
        <v>137</v>
      </c>
      <c r="M12" s="70" t="s">
        <v>137</v>
      </c>
      <c r="N12" s="85">
        <f t="shared" si="0"/>
        <v>0</v>
      </c>
      <c r="O12" s="70" t="s">
        <v>135</v>
      </c>
      <c r="P12" s="85">
        <f t="shared" si="1"/>
        <v>1</v>
      </c>
      <c r="Q12" s="70" t="s">
        <v>137</v>
      </c>
      <c r="R12" s="70" t="s">
        <v>137</v>
      </c>
      <c r="S12" s="70" t="s">
        <v>137</v>
      </c>
      <c r="T12" s="85">
        <f t="shared" si="3"/>
        <v>0</v>
      </c>
      <c r="U12" s="70" t="s">
        <v>137</v>
      </c>
      <c r="V12" s="70" t="s">
        <v>137</v>
      </c>
      <c r="W12" s="85">
        <f t="shared" si="4"/>
        <v>0</v>
      </c>
      <c r="X12" s="70" t="s">
        <v>137</v>
      </c>
      <c r="Y12" s="70" t="s">
        <v>137</v>
      </c>
      <c r="Z12" s="70" t="s">
        <v>137</v>
      </c>
      <c r="AA12" s="85">
        <f t="shared" si="5"/>
        <v>0</v>
      </c>
      <c r="AB12" s="70" t="s">
        <v>137</v>
      </c>
      <c r="AC12" s="70" t="s">
        <v>137</v>
      </c>
      <c r="AD12" s="85">
        <f t="shared" si="6"/>
        <v>0</v>
      </c>
      <c r="AE12" s="70" t="s">
        <v>137</v>
      </c>
      <c r="AF12" s="70" t="s">
        <v>137</v>
      </c>
      <c r="AG12" s="70" t="s">
        <v>137</v>
      </c>
      <c r="AH12" s="70" t="s">
        <v>137</v>
      </c>
      <c r="AI12" s="70" t="s">
        <v>137</v>
      </c>
      <c r="AJ12" s="84">
        <f t="shared" si="7"/>
        <v>0</v>
      </c>
      <c r="AK12" s="70" t="s">
        <v>137</v>
      </c>
      <c r="AL12" s="70" t="s">
        <v>137</v>
      </c>
      <c r="AM12" s="70" t="s">
        <v>137</v>
      </c>
      <c r="AN12" s="85">
        <f t="shared" si="8"/>
        <v>0</v>
      </c>
      <c r="AO12" s="70" t="s">
        <v>137</v>
      </c>
      <c r="AP12" s="70" t="s">
        <v>137</v>
      </c>
      <c r="AQ12" s="70" t="s">
        <v>135</v>
      </c>
      <c r="AR12" s="84">
        <f t="shared" si="9"/>
        <v>0.25</v>
      </c>
      <c r="AS12" s="70" t="s">
        <v>137</v>
      </c>
      <c r="AT12" s="70" t="s">
        <v>137</v>
      </c>
      <c r="AU12" s="85">
        <f t="shared" si="10"/>
        <v>0</v>
      </c>
    </row>
    <row r="13" spans="1:47" x14ac:dyDescent="0.35">
      <c r="B13" s="83">
        <f>Dados!$A20</f>
        <v>0</v>
      </c>
      <c r="C13" s="69" t="s">
        <v>137</v>
      </c>
      <c r="D13" s="69" t="s">
        <v>137</v>
      </c>
      <c r="E13" s="69" t="s">
        <v>137</v>
      </c>
      <c r="F13" s="69" t="s">
        <v>137</v>
      </c>
      <c r="G13" s="69" t="s">
        <v>137</v>
      </c>
      <c r="H13" s="69" t="s">
        <v>137</v>
      </c>
      <c r="I13" s="69" t="s">
        <v>137</v>
      </c>
      <c r="J13" s="84">
        <f t="shared" si="11"/>
        <v>0</v>
      </c>
      <c r="K13" s="69" t="s">
        <v>137</v>
      </c>
      <c r="L13" s="69" t="s">
        <v>137</v>
      </c>
      <c r="M13" s="69" t="s">
        <v>137</v>
      </c>
      <c r="N13" s="84">
        <f t="shared" si="0"/>
        <v>0</v>
      </c>
      <c r="O13" s="69" t="s">
        <v>135</v>
      </c>
      <c r="P13" s="84">
        <f t="shared" si="1"/>
        <v>1</v>
      </c>
      <c r="Q13" s="69" t="s">
        <v>137</v>
      </c>
      <c r="R13" s="69" t="s">
        <v>137</v>
      </c>
      <c r="S13" s="69" t="s">
        <v>137</v>
      </c>
      <c r="T13" s="84">
        <f t="shared" si="3"/>
        <v>0</v>
      </c>
      <c r="U13" s="69" t="s">
        <v>137</v>
      </c>
      <c r="V13" s="69" t="s">
        <v>137</v>
      </c>
      <c r="W13" s="84">
        <f t="shared" si="4"/>
        <v>0</v>
      </c>
      <c r="X13" s="69" t="s">
        <v>137</v>
      </c>
      <c r="Y13" s="69" t="s">
        <v>137</v>
      </c>
      <c r="Z13" s="69" t="s">
        <v>137</v>
      </c>
      <c r="AA13" s="84">
        <f t="shared" si="5"/>
        <v>0</v>
      </c>
      <c r="AB13" s="69" t="s">
        <v>137</v>
      </c>
      <c r="AC13" s="69" t="s">
        <v>137</v>
      </c>
      <c r="AD13" s="84">
        <f t="shared" si="6"/>
        <v>0</v>
      </c>
      <c r="AE13" s="69" t="s">
        <v>137</v>
      </c>
      <c r="AF13" s="69" t="s">
        <v>137</v>
      </c>
      <c r="AG13" s="69" t="s">
        <v>137</v>
      </c>
      <c r="AH13" s="69" t="s">
        <v>137</v>
      </c>
      <c r="AI13" s="69" t="s">
        <v>137</v>
      </c>
      <c r="AJ13" s="84">
        <f t="shared" si="7"/>
        <v>0</v>
      </c>
      <c r="AK13" s="69" t="s">
        <v>137</v>
      </c>
      <c r="AL13" s="69" t="s">
        <v>137</v>
      </c>
      <c r="AM13" s="69" t="s">
        <v>137</v>
      </c>
      <c r="AN13" s="84">
        <f t="shared" si="8"/>
        <v>0</v>
      </c>
      <c r="AO13" s="69" t="s">
        <v>137</v>
      </c>
      <c r="AP13" s="69" t="s">
        <v>137</v>
      </c>
      <c r="AQ13" s="69" t="s">
        <v>135</v>
      </c>
      <c r="AR13" s="84">
        <f t="shared" si="9"/>
        <v>0.25</v>
      </c>
      <c r="AS13" s="69" t="s">
        <v>137</v>
      </c>
      <c r="AT13" s="69" t="s">
        <v>137</v>
      </c>
      <c r="AU13" s="84">
        <f t="shared" si="10"/>
        <v>0</v>
      </c>
    </row>
    <row r="14" spans="1:47" x14ac:dyDescent="0.35">
      <c r="B14" s="82">
        <f>Dados!$A21</f>
        <v>0</v>
      </c>
      <c r="C14" s="70" t="s">
        <v>137</v>
      </c>
      <c r="D14" s="70" t="s">
        <v>137</v>
      </c>
      <c r="E14" s="70" t="s">
        <v>137</v>
      </c>
      <c r="F14" s="70" t="s">
        <v>137</v>
      </c>
      <c r="G14" s="70" t="s">
        <v>137</v>
      </c>
      <c r="H14" s="70" t="s">
        <v>137</v>
      </c>
      <c r="I14" s="70" t="s">
        <v>137</v>
      </c>
      <c r="J14" s="85">
        <f t="shared" si="11"/>
        <v>0</v>
      </c>
      <c r="K14" s="70" t="s">
        <v>137</v>
      </c>
      <c r="L14" s="70" t="s">
        <v>137</v>
      </c>
      <c r="M14" s="70" t="s">
        <v>137</v>
      </c>
      <c r="N14" s="85">
        <f t="shared" si="0"/>
        <v>0</v>
      </c>
      <c r="O14" s="70" t="s">
        <v>135</v>
      </c>
      <c r="P14" s="85">
        <f t="shared" si="1"/>
        <v>1</v>
      </c>
      <c r="Q14" s="70" t="s">
        <v>137</v>
      </c>
      <c r="R14" s="70" t="s">
        <v>137</v>
      </c>
      <c r="S14" s="70" t="s">
        <v>137</v>
      </c>
      <c r="T14" s="85">
        <f t="shared" si="3"/>
        <v>0</v>
      </c>
      <c r="U14" s="70" t="s">
        <v>137</v>
      </c>
      <c r="V14" s="70" t="s">
        <v>137</v>
      </c>
      <c r="W14" s="85">
        <f t="shared" si="4"/>
        <v>0</v>
      </c>
      <c r="X14" s="70" t="s">
        <v>137</v>
      </c>
      <c r="Y14" s="70" t="s">
        <v>137</v>
      </c>
      <c r="Z14" s="70" t="s">
        <v>137</v>
      </c>
      <c r="AA14" s="85">
        <f t="shared" si="5"/>
        <v>0</v>
      </c>
      <c r="AB14" s="70" t="s">
        <v>137</v>
      </c>
      <c r="AC14" s="70" t="s">
        <v>137</v>
      </c>
      <c r="AD14" s="85">
        <f t="shared" si="6"/>
        <v>0</v>
      </c>
      <c r="AE14" s="70" t="s">
        <v>137</v>
      </c>
      <c r="AF14" s="70" t="s">
        <v>137</v>
      </c>
      <c r="AG14" s="70" t="s">
        <v>137</v>
      </c>
      <c r="AH14" s="70" t="s">
        <v>137</v>
      </c>
      <c r="AI14" s="70" t="s">
        <v>137</v>
      </c>
      <c r="AJ14" s="84">
        <f t="shared" si="7"/>
        <v>0</v>
      </c>
      <c r="AK14" s="70" t="s">
        <v>137</v>
      </c>
      <c r="AL14" s="70" t="s">
        <v>137</v>
      </c>
      <c r="AM14" s="70" t="s">
        <v>137</v>
      </c>
      <c r="AN14" s="85">
        <f t="shared" si="8"/>
        <v>0</v>
      </c>
      <c r="AO14" s="70" t="s">
        <v>137</v>
      </c>
      <c r="AP14" s="70" t="s">
        <v>137</v>
      </c>
      <c r="AQ14" s="70" t="s">
        <v>135</v>
      </c>
      <c r="AR14" s="84">
        <f t="shared" si="9"/>
        <v>0.25</v>
      </c>
      <c r="AS14" s="70" t="s">
        <v>137</v>
      </c>
      <c r="AT14" s="70" t="s">
        <v>137</v>
      </c>
      <c r="AU14" s="85">
        <f t="shared" si="10"/>
        <v>0</v>
      </c>
    </row>
    <row r="15" spans="1:47" x14ac:dyDescent="0.35">
      <c r="B15" s="83">
        <f>Dados!$A22</f>
        <v>0</v>
      </c>
      <c r="C15" s="69" t="s">
        <v>137</v>
      </c>
      <c r="D15" s="69" t="s">
        <v>137</v>
      </c>
      <c r="E15" s="69" t="s">
        <v>137</v>
      </c>
      <c r="F15" s="69" t="s">
        <v>137</v>
      </c>
      <c r="G15" s="69" t="s">
        <v>137</v>
      </c>
      <c r="H15" s="69" t="s">
        <v>137</v>
      </c>
      <c r="I15" s="69" t="s">
        <v>137</v>
      </c>
      <c r="J15" s="84">
        <f t="shared" si="11"/>
        <v>0</v>
      </c>
      <c r="K15" s="69" t="s">
        <v>137</v>
      </c>
      <c r="L15" s="69" t="s">
        <v>137</v>
      </c>
      <c r="M15" s="69" t="s">
        <v>137</v>
      </c>
      <c r="N15" s="84">
        <f t="shared" si="0"/>
        <v>0</v>
      </c>
      <c r="O15" s="69" t="s">
        <v>135</v>
      </c>
      <c r="P15" s="84">
        <f t="shared" si="1"/>
        <v>1</v>
      </c>
      <c r="Q15" s="69" t="s">
        <v>137</v>
      </c>
      <c r="R15" s="69" t="s">
        <v>137</v>
      </c>
      <c r="S15" s="69" t="s">
        <v>137</v>
      </c>
      <c r="T15" s="84">
        <f t="shared" si="3"/>
        <v>0</v>
      </c>
      <c r="U15" s="69" t="s">
        <v>137</v>
      </c>
      <c r="V15" s="69" t="s">
        <v>137</v>
      </c>
      <c r="W15" s="84">
        <f t="shared" si="4"/>
        <v>0</v>
      </c>
      <c r="X15" s="69" t="s">
        <v>137</v>
      </c>
      <c r="Y15" s="69" t="s">
        <v>137</v>
      </c>
      <c r="Z15" s="69" t="s">
        <v>137</v>
      </c>
      <c r="AA15" s="84">
        <f t="shared" si="5"/>
        <v>0</v>
      </c>
      <c r="AB15" s="69" t="s">
        <v>137</v>
      </c>
      <c r="AC15" s="69" t="s">
        <v>137</v>
      </c>
      <c r="AD15" s="84">
        <f t="shared" si="6"/>
        <v>0</v>
      </c>
      <c r="AE15" s="69" t="s">
        <v>137</v>
      </c>
      <c r="AF15" s="69" t="s">
        <v>137</v>
      </c>
      <c r="AG15" s="69" t="s">
        <v>137</v>
      </c>
      <c r="AH15" s="69" t="s">
        <v>137</v>
      </c>
      <c r="AI15" s="69" t="s">
        <v>137</v>
      </c>
      <c r="AJ15" s="84">
        <f t="shared" si="7"/>
        <v>0</v>
      </c>
      <c r="AK15" s="69" t="s">
        <v>137</v>
      </c>
      <c r="AL15" s="69" t="s">
        <v>137</v>
      </c>
      <c r="AM15" s="69" t="s">
        <v>137</v>
      </c>
      <c r="AN15" s="84">
        <f t="shared" si="8"/>
        <v>0</v>
      </c>
      <c r="AO15" s="69" t="s">
        <v>137</v>
      </c>
      <c r="AP15" s="69" t="s">
        <v>137</v>
      </c>
      <c r="AQ15" s="69" t="s">
        <v>135</v>
      </c>
      <c r="AR15" s="84">
        <f t="shared" si="9"/>
        <v>0.25</v>
      </c>
      <c r="AS15" s="69" t="s">
        <v>137</v>
      </c>
      <c r="AT15" s="69" t="s">
        <v>137</v>
      </c>
      <c r="AU15" s="84">
        <f t="shared" si="10"/>
        <v>0</v>
      </c>
    </row>
    <row r="16" spans="1:47" x14ac:dyDescent="0.35">
      <c r="B16" s="82">
        <f>Dados!$A23</f>
        <v>0</v>
      </c>
      <c r="C16" s="70" t="s">
        <v>137</v>
      </c>
      <c r="D16" s="70" t="s">
        <v>137</v>
      </c>
      <c r="E16" s="70" t="s">
        <v>137</v>
      </c>
      <c r="F16" s="70" t="s">
        <v>137</v>
      </c>
      <c r="G16" s="70" t="s">
        <v>137</v>
      </c>
      <c r="H16" s="70" t="s">
        <v>137</v>
      </c>
      <c r="I16" s="70" t="s">
        <v>137</v>
      </c>
      <c r="J16" s="85">
        <f t="shared" si="11"/>
        <v>0</v>
      </c>
      <c r="K16" s="70" t="s">
        <v>137</v>
      </c>
      <c r="L16" s="70" t="s">
        <v>137</v>
      </c>
      <c r="M16" s="70" t="s">
        <v>137</v>
      </c>
      <c r="N16" s="85">
        <f t="shared" si="0"/>
        <v>0</v>
      </c>
      <c r="O16" s="70" t="s">
        <v>135</v>
      </c>
      <c r="P16" s="85">
        <f t="shared" si="1"/>
        <v>1</v>
      </c>
      <c r="Q16" s="70" t="s">
        <v>137</v>
      </c>
      <c r="R16" s="70" t="s">
        <v>137</v>
      </c>
      <c r="S16" s="70" t="s">
        <v>137</v>
      </c>
      <c r="T16" s="85">
        <f t="shared" si="3"/>
        <v>0</v>
      </c>
      <c r="U16" s="70" t="s">
        <v>137</v>
      </c>
      <c r="V16" s="70" t="s">
        <v>137</v>
      </c>
      <c r="W16" s="85">
        <f t="shared" si="4"/>
        <v>0</v>
      </c>
      <c r="X16" s="70" t="s">
        <v>137</v>
      </c>
      <c r="Y16" s="70" t="s">
        <v>137</v>
      </c>
      <c r="Z16" s="70" t="s">
        <v>137</v>
      </c>
      <c r="AA16" s="85">
        <f t="shared" si="5"/>
        <v>0</v>
      </c>
      <c r="AB16" s="70" t="s">
        <v>137</v>
      </c>
      <c r="AC16" s="70" t="s">
        <v>137</v>
      </c>
      <c r="AD16" s="85">
        <f t="shared" si="6"/>
        <v>0</v>
      </c>
      <c r="AE16" s="70" t="s">
        <v>137</v>
      </c>
      <c r="AF16" s="70" t="s">
        <v>137</v>
      </c>
      <c r="AG16" s="70" t="s">
        <v>137</v>
      </c>
      <c r="AH16" s="70" t="s">
        <v>137</v>
      </c>
      <c r="AI16" s="70" t="s">
        <v>137</v>
      </c>
      <c r="AJ16" s="84">
        <f t="shared" si="7"/>
        <v>0</v>
      </c>
      <c r="AK16" s="70" t="s">
        <v>137</v>
      </c>
      <c r="AL16" s="70" t="s">
        <v>137</v>
      </c>
      <c r="AM16" s="70" t="s">
        <v>137</v>
      </c>
      <c r="AN16" s="85">
        <f t="shared" si="8"/>
        <v>0</v>
      </c>
      <c r="AO16" s="70" t="s">
        <v>137</v>
      </c>
      <c r="AP16" s="70" t="s">
        <v>137</v>
      </c>
      <c r="AQ16" s="70" t="s">
        <v>135</v>
      </c>
      <c r="AR16" s="84">
        <f t="shared" si="9"/>
        <v>0.25</v>
      </c>
      <c r="AS16" s="70" t="s">
        <v>137</v>
      </c>
      <c r="AT16" s="70" t="s">
        <v>137</v>
      </c>
      <c r="AU16" s="85">
        <f t="shared" si="10"/>
        <v>0</v>
      </c>
    </row>
    <row r="17" spans="2:47" x14ac:dyDescent="0.35">
      <c r="B17" s="83">
        <f>Dados!$A24</f>
        <v>0</v>
      </c>
      <c r="C17" s="69" t="s">
        <v>137</v>
      </c>
      <c r="D17" s="69" t="s">
        <v>137</v>
      </c>
      <c r="E17" s="69" t="s">
        <v>137</v>
      </c>
      <c r="F17" s="69" t="s">
        <v>137</v>
      </c>
      <c r="G17" s="69" t="s">
        <v>137</v>
      </c>
      <c r="H17" s="69" t="s">
        <v>137</v>
      </c>
      <c r="I17" s="69" t="s">
        <v>137</v>
      </c>
      <c r="J17" s="84">
        <f t="shared" si="11"/>
        <v>0</v>
      </c>
      <c r="K17" s="69" t="s">
        <v>137</v>
      </c>
      <c r="L17" s="69" t="s">
        <v>137</v>
      </c>
      <c r="M17" s="69" t="s">
        <v>137</v>
      </c>
      <c r="N17" s="84">
        <f t="shared" si="0"/>
        <v>0</v>
      </c>
      <c r="O17" s="69" t="s">
        <v>135</v>
      </c>
      <c r="P17" s="84">
        <f t="shared" si="1"/>
        <v>1</v>
      </c>
      <c r="Q17" s="69" t="s">
        <v>137</v>
      </c>
      <c r="R17" s="69" t="s">
        <v>137</v>
      </c>
      <c r="S17" s="69" t="s">
        <v>137</v>
      </c>
      <c r="T17" s="84">
        <f t="shared" si="3"/>
        <v>0</v>
      </c>
      <c r="U17" s="69" t="s">
        <v>137</v>
      </c>
      <c r="V17" s="69" t="s">
        <v>137</v>
      </c>
      <c r="W17" s="84">
        <f t="shared" si="4"/>
        <v>0</v>
      </c>
      <c r="X17" s="69" t="s">
        <v>137</v>
      </c>
      <c r="Y17" s="69" t="s">
        <v>137</v>
      </c>
      <c r="Z17" s="69" t="s">
        <v>137</v>
      </c>
      <c r="AA17" s="84">
        <f t="shared" si="5"/>
        <v>0</v>
      </c>
      <c r="AB17" s="69" t="s">
        <v>137</v>
      </c>
      <c r="AC17" s="69" t="s">
        <v>137</v>
      </c>
      <c r="AD17" s="84">
        <f t="shared" si="6"/>
        <v>0</v>
      </c>
      <c r="AE17" s="69" t="s">
        <v>137</v>
      </c>
      <c r="AF17" s="69" t="s">
        <v>137</v>
      </c>
      <c r="AG17" s="69" t="s">
        <v>137</v>
      </c>
      <c r="AH17" s="69" t="s">
        <v>137</v>
      </c>
      <c r="AI17" s="69" t="s">
        <v>137</v>
      </c>
      <c r="AJ17" s="84">
        <f t="shared" si="7"/>
        <v>0</v>
      </c>
      <c r="AK17" s="69" t="s">
        <v>137</v>
      </c>
      <c r="AL17" s="69" t="s">
        <v>137</v>
      </c>
      <c r="AM17" s="69" t="s">
        <v>137</v>
      </c>
      <c r="AN17" s="84">
        <f t="shared" si="8"/>
        <v>0</v>
      </c>
      <c r="AO17" s="69" t="s">
        <v>137</v>
      </c>
      <c r="AP17" s="69" t="s">
        <v>137</v>
      </c>
      <c r="AQ17" s="69" t="s">
        <v>135</v>
      </c>
      <c r="AR17" s="84">
        <f t="shared" si="9"/>
        <v>0.25</v>
      </c>
      <c r="AS17" s="69" t="s">
        <v>137</v>
      </c>
      <c r="AT17" s="69" t="s">
        <v>137</v>
      </c>
      <c r="AU17" s="84">
        <f t="shared" si="10"/>
        <v>0</v>
      </c>
    </row>
    <row r="18" spans="2:47" x14ac:dyDescent="0.35">
      <c r="B18" s="82">
        <f>Dados!$A25</f>
        <v>0</v>
      </c>
      <c r="C18" s="70" t="s">
        <v>137</v>
      </c>
      <c r="D18" s="70" t="s">
        <v>137</v>
      </c>
      <c r="E18" s="70" t="s">
        <v>137</v>
      </c>
      <c r="F18" s="70" t="s">
        <v>137</v>
      </c>
      <c r="G18" s="70" t="s">
        <v>137</v>
      </c>
      <c r="H18" s="70" t="s">
        <v>137</v>
      </c>
      <c r="I18" s="70" t="s">
        <v>137</v>
      </c>
      <c r="J18" s="85">
        <f t="shared" si="11"/>
        <v>0</v>
      </c>
      <c r="K18" s="70" t="s">
        <v>137</v>
      </c>
      <c r="L18" s="70" t="s">
        <v>137</v>
      </c>
      <c r="M18" s="70" t="s">
        <v>137</v>
      </c>
      <c r="N18" s="85">
        <f t="shared" si="0"/>
        <v>0</v>
      </c>
      <c r="O18" s="70" t="s">
        <v>135</v>
      </c>
      <c r="P18" s="85">
        <f t="shared" si="1"/>
        <v>1</v>
      </c>
      <c r="Q18" s="70" t="s">
        <v>137</v>
      </c>
      <c r="R18" s="70" t="s">
        <v>137</v>
      </c>
      <c r="S18" s="70" t="s">
        <v>137</v>
      </c>
      <c r="T18" s="85">
        <f t="shared" si="3"/>
        <v>0</v>
      </c>
      <c r="U18" s="70" t="s">
        <v>137</v>
      </c>
      <c r="V18" s="70" t="s">
        <v>137</v>
      </c>
      <c r="W18" s="85">
        <f t="shared" si="4"/>
        <v>0</v>
      </c>
      <c r="X18" s="70" t="s">
        <v>137</v>
      </c>
      <c r="Y18" s="70" t="s">
        <v>137</v>
      </c>
      <c r="Z18" s="70" t="s">
        <v>137</v>
      </c>
      <c r="AA18" s="85">
        <f t="shared" si="5"/>
        <v>0</v>
      </c>
      <c r="AB18" s="70" t="s">
        <v>137</v>
      </c>
      <c r="AC18" s="70" t="s">
        <v>137</v>
      </c>
      <c r="AD18" s="85">
        <f t="shared" si="6"/>
        <v>0</v>
      </c>
      <c r="AE18" s="70" t="s">
        <v>137</v>
      </c>
      <c r="AF18" s="70" t="s">
        <v>137</v>
      </c>
      <c r="AG18" s="70" t="s">
        <v>137</v>
      </c>
      <c r="AH18" s="70" t="s">
        <v>137</v>
      </c>
      <c r="AI18" s="70" t="s">
        <v>137</v>
      </c>
      <c r="AJ18" s="84">
        <f t="shared" si="7"/>
        <v>0</v>
      </c>
      <c r="AK18" s="70" t="s">
        <v>137</v>
      </c>
      <c r="AL18" s="70" t="s">
        <v>137</v>
      </c>
      <c r="AM18" s="70" t="s">
        <v>137</v>
      </c>
      <c r="AN18" s="85">
        <f t="shared" si="8"/>
        <v>0</v>
      </c>
      <c r="AO18" s="70" t="s">
        <v>137</v>
      </c>
      <c r="AP18" s="70" t="s">
        <v>137</v>
      </c>
      <c r="AQ18" s="70" t="s">
        <v>135</v>
      </c>
      <c r="AR18" s="84">
        <f t="shared" si="9"/>
        <v>0.25</v>
      </c>
      <c r="AS18" s="70" t="s">
        <v>137</v>
      </c>
      <c r="AT18" s="70" t="s">
        <v>137</v>
      </c>
      <c r="AU18" s="85">
        <f t="shared" si="10"/>
        <v>0</v>
      </c>
    </row>
    <row r="19" spans="2:47" x14ac:dyDescent="0.35">
      <c r="B19" s="83">
        <f>Dados!$A26</f>
        <v>0</v>
      </c>
      <c r="C19" s="69" t="s">
        <v>137</v>
      </c>
      <c r="D19" s="69" t="s">
        <v>137</v>
      </c>
      <c r="E19" s="69" t="s">
        <v>137</v>
      </c>
      <c r="F19" s="69" t="s">
        <v>137</v>
      </c>
      <c r="G19" s="69" t="s">
        <v>137</v>
      </c>
      <c r="H19" s="69" t="s">
        <v>137</v>
      </c>
      <c r="I19" s="69" t="s">
        <v>137</v>
      </c>
      <c r="J19" s="84">
        <f t="shared" si="11"/>
        <v>0</v>
      </c>
      <c r="K19" s="69" t="s">
        <v>137</v>
      </c>
      <c r="L19" s="69" t="s">
        <v>137</v>
      </c>
      <c r="M19" s="69" t="s">
        <v>137</v>
      </c>
      <c r="N19" s="84">
        <f t="shared" si="0"/>
        <v>0</v>
      </c>
      <c r="O19" s="69" t="s">
        <v>135</v>
      </c>
      <c r="P19" s="84">
        <f t="shared" si="1"/>
        <v>1</v>
      </c>
      <c r="Q19" s="69" t="s">
        <v>137</v>
      </c>
      <c r="R19" s="69" t="s">
        <v>137</v>
      </c>
      <c r="S19" s="69" t="s">
        <v>137</v>
      </c>
      <c r="T19" s="84">
        <f t="shared" si="3"/>
        <v>0</v>
      </c>
      <c r="U19" s="69" t="s">
        <v>137</v>
      </c>
      <c r="V19" s="69" t="s">
        <v>137</v>
      </c>
      <c r="W19" s="84">
        <f t="shared" si="4"/>
        <v>0</v>
      </c>
      <c r="X19" s="69" t="s">
        <v>137</v>
      </c>
      <c r="Y19" s="69" t="s">
        <v>137</v>
      </c>
      <c r="Z19" s="69" t="s">
        <v>137</v>
      </c>
      <c r="AA19" s="84">
        <f t="shared" si="5"/>
        <v>0</v>
      </c>
      <c r="AB19" s="69" t="s">
        <v>137</v>
      </c>
      <c r="AC19" s="69" t="s">
        <v>137</v>
      </c>
      <c r="AD19" s="84">
        <f t="shared" si="6"/>
        <v>0</v>
      </c>
      <c r="AE19" s="69" t="s">
        <v>137</v>
      </c>
      <c r="AF19" s="69" t="s">
        <v>137</v>
      </c>
      <c r="AG19" s="69" t="s">
        <v>137</v>
      </c>
      <c r="AH19" s="69" t="s">
        <v>137</v>
      </c>
      <c r="AI19" s="69" t="s">
        <v>137</v>
      </c>
      <c r="AJ19" s="84">
        <f t="shared" si="7"/>
        <v>0</v>
      </c>
      <c r="AK19" s="69" t="s">
        <v>137</v>
      </c>
      <c r="AL19" s="69" t="s">
        <v>137</v>
      </c>
      <c r="AM19" s="69" t="s">
        <v>137</v>
      </c>
      <c r="AN19" s="84">
        <f t="shared" si="8"/>
        <v>0</v>
      </c>
      <c r="AO19" s="69" t="s">
        <v>137</v>
      </c>
      <c r="AP19" s="69" t="s">
        <v>137</v>
      </c>
      <c r="AQ19" s="69" t="s">
        <v>135</v>
      </c>
      <c r="AR19" s="84">
        <f t="shared" si="9"/>
        <v>0.25</v>
      </c>
      <c r="AS19" s="69" t="s">
        <v>137</v>
      </c>
      <c r="AT19" s="69" t="s">
        <v>137</v>
      </c>
      <c r="AU19" s="84">
        <f t="shared" si="10"/>
        <v>0</v>
      </c>
    </row>
    <row r="20" spans="2:47" x14ac:dyDescent="0.35">
      <c r="B20" s="82">
        <f>Dados!$A27</f>
        <v>0</v>
      </c>
      <c r="C20" s="70" t="s">
        <v>137</v>
      </c>
      <c r="D20" s="70" t="s">
        <v>137</v>
      </c>
      <c r="E20" s="70" t="s">
        <v>137</v>
      </c>
      <c r="F20" s="70" t="s">
        <v>137</v>
      </c>
      <c r="G20" s="70" t="s">
        <v>137</v>
      </c>
      <c r="H20" s="70" t="s">
        <v>137</v>
      </c>
      <c r="I20" s="70" t="s">
        <v>137</v>
      </c>
      <c r="J20" s="85">
        <f t="shared" si="11"/>
        <v>0</v>
      </c>
      <c r="K20" s="70" t="s">
        <v>137</v>
      </c>
      <c r="L20" s="70" t="s">
        <v>137</v>
      </c>
      <c r="M20" s="70" t="s">
        <v>137</v>
      </c>
      <c r="N20" s="85">
        <f t="shared" si="0"/>
        <v>0</v>
      </c>
      <c r="O20" s="70" t="s">
        <v>135</v>
      </c>
      <c r="P20" s="85">
        <f t="shared" si="1"/>
        <v>1</v>
      </c>
      <c r="Q20" s="70" t="s">
        <v>137</v>
      </c>
      <c r="R20" s="70" t="s">
        <v>137</v>
      </c>
      <c r="S20" s="70" t="s">
        <v>137</v>
      </c>
      <c r="T20" s="85">
        <f t="shared" si="3"/>
        <v>0</v>
      </c>
      <c r="U20" s="70" t="s">
        <v>137</v>
      </c>
      <c r="V20" s="70" t="s">
        <v>137</v>
      </c>
      <c r="W20" s="85">
        <f t="shared" si="4"/>
        <v>0</v>
      </c>
      <c r="X20" s="70" t="s">
        <v>137</v>
      </c>
      <c r="Y20" s="70" t="s">
        <v>137</v>
      </c>
      <c r="Z20" s="70" t="s">
        <v>137</v>
      </c>
      <c r="AA20" s="85">
        <f t="shared" si="5"/>
        <v>0</v>
      </c>
      <c r="AB20" s="70" t="s">
        <v>137</v>
      </c>
      <c r="AC20" s="70" t="s">
        <v>137</v>
      </c>
      <c r="AD20" s="85">
        <f t="shared" si="6"/>
        <v>0</v>
      </c>
      <c r="AE20" s="70" t="s">
        <v>137</v>
      </c>
      <c r="AF20" s="70" t="s">
        <v>137</v>
      </c>
      <c r="AG20" s="70" t="s">
        <v>137</v>
      </c>
      <c r="AH20" s="70" t="s">
        <v>137</v>
      </c>
      <c r="AI20" s="70" t="s">
        <v>137</v>
      </c>
      <c r="AJ20" s="84">
        <f t="shared" si="7"/>
        <v>0</v>
      </c>
      <c r="AK20" s="70" t="s">
        <v>137</v>
      </c>
      <c r="AL20" s="70" t="s">
        <v>137</v>
      </c>
      <c r="AM20" s="70" t="s">
        <v>137</v>
      </c>
      <c r="AN20" s="85">
        <f t="shared" si="8"/>
        <v>0</v>
      </c>
      <c r="AO20" s="70" t="s">
        <v>137</v>
      </c>
      <c r="AP20" s="70" t="s">
        <v>137</v>
      </c>
      <c r="AQ20" s="70" t="s">
        <v>135</v>
      </c>
      <c r="AR20" s="84">
        <f t="shared" si="9"/>
        <v>0.25</v>
      </c>
      <c r="AS20" s="70" t="s">
        <v>137</v>
      </c>
      <c r="AT20" s="70" t="s">
        <v>137</v>
      </c>
      <c r="AU20" s="85">
        <f t="shared" si="10"/>
        <v>0</v>
      </c>
    </row>
    <row r="21" spans="2:47" x14ac:dyDescent="0.35">
      <c r="B21" s="83">
        <f>Dados!$A28</f>
        <v>0</v>
      </c>
      <c r="C21" s="69" t="s">
        <v>137</v>
      </c>
      <c r="D21" s="69" t="s">
        <v>137</v>
      </c>
      <c r="E21" s="69" t="s">
        <v>137</v>
      </c>
      <c r="F21" s="69" t="s">
        <v>137</v>
      </c>
      <c r="G21" s="69" t="s">
        <v>137</v>
      </c>
      <c r="H21" s="69" t="s">
        <v>137</v>
      </c>
      <c r="I21" s="69" t="s">
        <v>137</v>
      </c>
      <c r="J21" s="84">
        <f t="shared" si="11"/>
        <v>0</v>
      </c>
      <c r="K21" s="69" t="s">
        <v>137</v>
      </c>
      <c r="L21" s="69" t="s">
        <v>137</v>
      </c>
      <c r="M21" s="69" t="s">
        <v>137</v>
      </c>
      <c r="N21" s="84">
        <f t="shared" si="0"/>
        <v>0</v>
      </c>
      <c r="O21" s="69" t="s">
        <v>135</v>
      </c>
      <c r="P21" s="84">
        <f t="shared" si="1"/>
        <v>1</v>
      </c>
      <c r="Q21" s="69" t="s">
        <v>137</v>
      </c>
      <c r="R21" s="69" t="s">
        <v>137</v>
      </c>
      <c r="S21" s="69" t="s">
        <v>137</v>
      </c>
      <c r="T21" s="84">
        <f t="shared" si="3"/>
        <v>0</v>
      </c>
      <c r="U21" s="69" t="s">
        <v>137</v>
      </c>
      <c r="V21" s="69" t="s">
        <v>137</v>
      </c>
      <c r="W21" s="84">
        <f t="shared" si="4"/>
        <v>0</v>
      </c>
      <c r="X21" s="69" t="s">
        <v>137</v>
      </c>
      <c r="Y21" s="69" t="s">
        <v>137</v>
      </c>
      <c r="Z21" s="69" t="s">
        <v>137</v>
      </c>
      <c r="AA21" s="84">
        <f t="shared" si="5"/>
        <v>0</v>
      </c>
      <c r="AB21" s="69" t="s">
        <v>137</v>
      </c>
      <c r="AC21" s="69" t="s">
        <v>137</v>
      </c>
      <c r="AD21" s="84">
        <f t="shared" si="6"/>
        <v>0</v>
      </c>
      <c r="AE21" s="69" t="s">
        <v>137</v>
      </c>
      <c r="AF21" s="69" t="s">
        <v>137</v>
      </c>
      <c r="AG21" s="69" t="s">
        <v>137</v>
      </c>
      <c r="AH21" s="69" t="s">
        <v>137</v>
      </c>
      <c r="AI21" s="69" t="s">
        <v>137</v>
      </c>
      <c r="AJ21" s="84">
        <f t="shared" si="7"/>
        <v>0</v>
      </c>
      <c r="AK21" s="69" t="s">
        <v>137</v>
      </c>
      <c r="AL21" s="69" t="s">
        <v>137</v>
      </c>
      <c r="AM21" s="69" t="s">
        <v>137</v>
      </c>
      <c r="AN21" s="84">
        <f t="shared" si="8"/>
        <v>0</v>
      </c>
      <c r="AO21" s="69" t="s">
        <v>137</v>
      </c>
      <c r="AP21" s="69" t="s">
        <v>137</v>
      </c>
      <c r="AQ21" s="69" t="s">
        <v>135</v>
      </c>
      <c r="AR21" s="84">
        <f t="shared" si="9"/>
        <v>0.25</v>
      </c>
      <c r="AS21" s="69" t="s">
        <v>137</v>
      </c>
      <c r="AT21" s="69" t="s">
        <v>137</v>
      </c>
      <c r="AU21" s="84">
        <f t="shared" si="10"/>
        <v>0</v>
      </c>
    </row>
    <row r="22" spans="2:47" x14ac:dyDescent="0.35">
      <c r="B22" s="82">
        <f>Dados!$A29</f>
        <v>0</v>
      </c>
      <c r="C22" s="70" t="s">
        <v>137</v>
      </c>
      <c r="D22" s="70" t="s">
        <v>137</v>
      </c>
      <c r="E22" s="70" t="s">
        <v>137</v>
      </c>
      <c r="F22" s="70" t="s">
        <v>137</v>
      </c>
      <c r="G22" s="70" t="s">
        <v>137</v>
      </c>
      <c r="H22" s="70" t="s">
        <v>137</v>
      </c>
      <c r="I22" s="70" t="s">
        <v>137</v>
      </c>
      <c r="J22" s="85">
        <f t="shared" si="11"/>
        <v>0</v>
      </c>
      <c r="K22" s="70" t="s">
        <v>137</v>
      </c>
      <c r="L22" s="70" t="s">
        <v>137</v>
      </c>
      <c r="M22" s="70" t="s">
        <v>137</v>
      </c>
      <c r="N22" s="85">
        <f t="shared" si="0"/>
        <v>0</v>
      </c>
      <c r="O22" s="70" t="s">
        <v>135</v>
      </c>
      <c r="P22" s="85">
        <f t="shared" si="1"/>
        <v>1</v>
      </c>
      <c r="Q22" s="70" t="s">
        <v>137</v>
      </c>
      <c r="R22" s="70" t="s">
        <v>137</v>
      </c>
      <c r="S22" s="70" t="s">
        <v>137</v>
      </c>
      <c r="T22" s="85">
        <f t="shared" si="3"/>
        <v>0</v>
      </c>
      <c r="U22" s="70" t="s">
        <v>137</v>
      </c>
      <c r="V22" s="70" t="s">
        <v>137</v>
      </c>
      <c r="W22" s="85">
        <f t="shared" si="4"/>
        <v>0</v>
      </c>
      <c r="X22" s="70" t="s">
        <v>137</v>
      </c>
      <c r="Y22" s="70" t="s">
        <v>137</v>
      </c>
      <c r="Z22" s="70" t="s">
        <v>137</v>
      </c>
      <c r="AA22" s="85">
        <f t="shared" si="5"/>
        <v>0</v>
      </c>
      <c r="AB22" s="70" t="s">
        <v>137</v>
      </c>
      <c r="AC22" s="70" t="s">
        <v>137</v>
      </c>
      <c r="AD22" s="85">
        <f t="shared" si="6"/>
        <v>0</v>
      </c>
      <c r="AE22" s="70" t="s">
        <v>137</v>
      </c>
      <c r="AF22" s="70" t="s">
        <v>137</v>
      </c>
      <c r="AG22" s="70" t="s">
        <v>137</v>
      </c>
      <c r="AH22" s="70" t="s">
        <v>137</v>
      </c>
      <c r="AI22" s="70" t="s">
        <v>137</v>
      </c>
      <c r="AJ22" s="84">
        <f t="shared" si="7"/>
        <v>0</v>
      </c>
      <c r="AK22" s="70" t="s">
        <v>137</v>
      </c>
      <c r="AL22" s="70" t="s">
        <v>137</v>
      </c>
      <c r="AM22" s="70" t="s">
        <v>137</v>
      </c>
      <c r="AN22" s="85">
        <f t="shared" si="8"/>
        <v>0</v>
      </c>
      <c r="AO22" s="70" t="s">
        <v>137</v>
      </c>
      <c r="AP22" s="70" t="s">
        <v>137</v>
      </c>
      <c r="AQ22" s="70" t="s">
        <v>135</v>
      </c>
      <c r="AR22" s="84">
        <f t="shared" si="9"/>
        <v>0.25</v>
      </c>
      <c r="AS22" s="70" t="s">
        <v>137</v>
      </c>
      <c r="AT22" s="70" t="s">
        <v>137</v>
      </c>
      <c r="AU22" s="85">
        <f t="shared" si="10"/>
        <v>0</v>
      </c>
    </row>
    <row r="23" spans="2:47" x14ac:dyDescent="0.35">
      <c r="B23" s="83">
        <f>Dados!$A30</f>
        <v>0</v>
      </c>
      <c r="C23" s="69" t="s">
        <v>137</v>
      </c>
      <c r="D23" s="69" t="s">
        <v>137</v>
      </c>
      <c r="E23" s="69" t="s">
        <v>137</v>
      </c>
      <c r="F23" s="69" t="s">
        <v>137</v>
      </c>
      <c r="G23" s="69" t="s">
        <v>137</v>
      </c>
      <c r="H23" s="69" t="s">
        <v>137</v>
      </c>
      <c r="I23" s="69" t="s">
        <v>137</v>
      </c>
      <c r="J23" s="84">
        <f t="shared" si="11"/>
        <v>0</v>
      </c>
      <c r="K23" s="69" t="s">
        <v>137</v>
      </c>
      <c r="L23" s="69" t="s">
        <v>137</v>
      </c>
      <c r="M23" s="69" t="s">
        <v>137</v>
      </c>
      <c r="N23" s="84">
        <f t="shared" si="0"/>
        <v>0</v>
      </c>
      <c r="O23" s="69" t="s">
        <v>135</v>
      </c>
      <c r="P23" s="84">
        <f t="shared" si="1"/>
        <v>1</v>
      </c>
      <c r="Q23" s="69" t="s">
        <v>137</v>
      </c>
      <c r="R23" s="69" t="s">
        <v>137</v>
      </c>
      <c r="S23" s="69" t="s">
        <v>137</v>
      </c>
      <c r="T23" s="84">
        <f t="shared" si="3"/>
        <v>0</v>
      </c>
      <c r="U23" s="69" t="s">
        <v>137</v>
      </c>
      <c r="V23" s="69" t="s">
        <v>137</v>
      </c>
      <c r="W23" s="84">
        <f t="shared" si="4"/>
        <v>0</v>
      </c>
      <c r="X23" s="69" t="s">
        <v>137</v>
      </c>
      <c r="Y23" s="69" t="s">
        <v>137</v>
      </c>
      <c r="Z23" s="69" t="s">
        <v>137</v>
      </c>
      <c r="AA23" s="84">
        <f t="shared" si="5"/>
        <v>0</v>
      </c>
      <c r="AB23" s="69" t="s">
        <v>137</v>
      </c>
      <c r="AC23" s="69" t="s">
        <v>137</v>
      </c>
      <c r="AD23" s="84">
        <f t="shared" si="6"/>
        <v>0</v>
      </c>
      <c r="AE23" s="69" t="s">
        <v>137</v>
      </c>
      <c r="AF23" s="69" t="s">
        <v>137</v>
      </c>
      <c r="AG23" s="69" t="s">
        <v>137</v>
      </c>
      <c r="AH23" s="69" t="s">
        <v>137</v>
      </c>
      <c r="AI23" s="69" t="s">
        <v>137</v>
      </c>
      <c r="AJ23" s="84">
        <f t="shared" si="7"/>
        <v>0</v>
      </c>
      <c r="AK23" s="69" t="s">
        <v>137</v>
      </c>
      <c r="AL23" s="69" t="s">
        <v>137</v>
      </c>
      <c r="AM23" s="69" t="s">
        <v>137</v>
      </c>
      <c r="AN23" s="84">
        <f t="shared" si="8"/>
        <v>0</v>
      </c>
      <c r="AO23" s="69" t="s">
        <v>137</v>
      </c>
      <c r="AP23" s="69" t="s">
        <v>137</v>
      </c>
      <c r="AQ23" s="69" t="s">
        <v>135</v>
      </c>
      <c r="AR23" s="84">
        <f t="shared" si="9"/>
        <v>0.25</v>
      </c>
      <c r="AS23" s="69" t="s">
        <v>137</v>
      </c>
      <c r="AT23" s="69" t="s">
        <v>137</v>
      </c>
      <c r="AU23" s="84">
        <f t="shared" si="10"/>
        <v>0</v>
      </c>
    </row>
    <row r="24" spans="2:47" x14ac:dyDescent="0.35">
      <c r="B24" s="82">
        <f>Dados!$A31</f>
        <v>0</v>
      </c>
      <c r="C24" s="70" t="s">
        <v>137</v>
      </c>
      <c r="D24" s="70" t="s">
        <v>137</v>
      </c>
      <c r="E24" s="70" t="s">
        <v>137</v>
      </c>
      <c r="F24" s="70" t="s">
        <v>137</v>
      </c>
      <c r="G24" s="70" t="s">
        <v>137</v>
      </c>
      <c r="H24" s="70" t="s">
        <v>137</v>
      </c>
      <c r="I24" s="70" t="s">
        <v>137</v>
      </c>
      <c r="J24" s="85">
        <f t="shared" si="11"/>
        <v>0</v>
      </c>
      <c r="K24" s="70" t="s">
        <v>137</v>
      </c>
      <c r="L24" s="70" t="s">
        <v>137</v>
      </c>
      <c r="M24" s="70" t="s">
        <v>137</v>
      </c>
      <c r="N24" s="85">
        <f t="shared" si="0"/>
        <v>0</v>
      </c>
      <c r="O24" s="70" t="s">
        <v>135</v>
      </c>
      <c r="P24" s="85">
        <f t="shared" si="1"/>
        <v>1</v>
      </c>
      <c r="Q24" s="70" t="s">
        <v>137</v>
      </c>
      <c r="R24" s="70" t="s">
        <v>137</v>
      </c>
      <c r="S24" s="70" t="s">
        <v>137</v>
      </c>
      <c r="T24" s="85">
        <f t="shared" si="3"/>
        <v>0</v>
      </c>
      <c r="U24" s="70" t="s">
        <v>137</v>
      </c>
      <c r="V24" s="70" t="s">
        <v>137</v>
      </c>
      <c r="W24" s="85">
        <f t="shared" si="4"/>
        <v>0</v>
      </c>
      <c r="X24" s="70" t="s">
        <v>137</v>
      </c>
      <c r="Y24" s="70" t="s">
        <v>137</v>
      </c>
      <c r="Z24" s="70" t="s">
        <v>137</v>
      </c>
      <c r="AA24" s="85">
        <f t="shared" si="5"/>
        <v>0</v>
      </c>
      <c r="AB24" s="70" t="s">
        <v>137</v>
      </c>
      <c r="AC24" s="70" t="s">
        <v>137</v>
      </c>
      <c r="AD24" s="85">
        <f t="shared" si="6"/>
        <v>0</v>
      </c>
      <c r="AE24" s="70" t="s">
        <v>137</v>
      </c>
      <c r="AF24" s="70" t="s">
        <v>137</v>
      </c>
      <c r="AG24" s="70" t="s">
        <v>137</v>
      </c>
      <c r="AH24" s="70" t="s">
        <v>137</v>
      </c>
      <c r="AI24" s="70" t="s">
        <v>137</v>
      </c>
      <c r="AJ24" s="84">
        <f t="shared" si="7"/>
        <v>0</v>
      </c>
      <c r="AK24" s="70" t="s">
        <v>137</v>
      </c>
      <c r="AL24" s="70" t="s">
        <v>137</v>
      </c>
      <c r="AM24" s="70" t="s">
        <v>137</v>
      </c>
      <c r="AN24" s="85">
        <f t="shared" si="8"/>
        <v>0</v>
      </c>
      <c r="AO24" s="70" t="s">
        <v>137</v>
      </c>
      <c r="AP24" s="70" t="s">
        <v>137</v>
      </c>
      <c r="AQ24" s="70" t="s">
        <v>135</v>
      </c>
      <c r="AR24" s="84">
        <f t="shared" si="9"/>
        <v>0.25</v>
      </c>
      <c r="AS24" s="70" t="s">
        <v>137</v>
      </c>
      <c r="AT24" s="70" t="s">
        <v>137</v>
      </c>
      <c r="AU24" s="85">
        <f t="shared" si="10"/>
        <v>0</v>
      </c>
    </row>
    <row r="25" spans="2:47" x14ac:dyDescent="0.35">
      <c r="B25" s="83">
        <f>Dados!$A32</f>
        <v>0</v>
      </c>
      <c r="C25" s="69" t="s">
        <v>137</v>
      </c>
      <c r="D25" s="69" t="s">
        <v>137</v>
      </c>
      <c r="E25" s="69" t="s">
        <v>137</v>
      </c>
      <c r="F25" s="69" t="s">
        <v>137</v>
      </c>
      <c r="G25" s="69" t="s">
        <v>137</v>
      </c>
      <c r="H25" s="69" t="s">
        <v>137</v>
      </c>
      <c r="I25" s="69" t="s">
        <v>137</v>
      </c>
      <c r="J25" s="84">
        <f t="shared" si="11"/>
        <v>0</v>
      </c>
      <c r="K25" s="69" t="s">
        <v>137</v>
      </c>
      <c r="L25" s="69" t="s">
        <v>137</v>
      </c>
      <c r="M25" s="69" t="s">
        <v>137</v>
      </c>
      <c r="N25" s="84">
        <f t="shared" si="0"/>
        <v>0</v>
      </c>
      <c r="O25" s="69" t="s">
        <v>135</v>
      </c>
      <c r="P25" s="84">
        <f t="shared" si="1"/>
        <v>1</v>
      </c>
      <c r="Q25" s="69" t="s">
        <v>137</v>
      </c>
      <c r="R25" s="69" t="s">
        <v>137</v>
      </c>
      <c r="S25" s="69" t="s">
        <v>137</v>
      </c>
      <c r="T25" s="84">
        <f t="shared" si="3"/>
        <v>0</v>
      </c>
      <c r="U25" s="69" t="s">
        <v>137</v>
      </c>
      <c r="V25" s="69" t="s">
        <v>137</v>
      </c>
      <c r="W25" s="84">
        <f t="shared" si="4"/>
        <v>0</v>
      </c>
      <c r="X25" s="69" t="s">
        <v>137</v>
      </c>
      <c r="Y25" s="69" t="s">
        <v>137</v>
      </c>
      <c r="Z25" s="69" t="s">
        <v>137</v>
      </c>
      <c r="AA25" s="84">
        <f t="shared" si="5"/>
        <v>0</v>
      </c>
      <c r="AB25" s="69" t="s">
        <v>137</v>
      </c>
      <c r="AC25" s="69" t="s">
        <v>137</v>
      </c>
      <c r="AD25" s="84">
        <f t="shared" si="6"/>
        <v>0</v>
      </c>
      <c r="AE25" s="69" t="s">
        <v>137</v>
      </c>
      <c r="AF25" s="69" t="s">
        <v>137</v>
      </c>
      <c r="AG25" s="69" t="s">
        <v>137</v>
      </c>
      <c r="AH25" s="69" t="s">
        <v>137</v>
      </c>
      <c r="AI25" s="69" t="s">
        <v>137</v>
      </c>
      <c r="AJ25" s="84">
        <f t="shared" si="7"/>
        <v>0</v>
      </c>
      <c r="AK25" s="69" t="s">
        <v>137</v>
      </c>
      <c r="AL25" s="69" t="s">
        <v>137</v>
      </c>
      <c r="AM25" s="69" t="s">
        <v>137</v>
      </c>
      <c r="AN25" s="84">
        <f t="shared" si="8"/>
        <v>0</v>
      </c>
      <c r="AO25" s="69" t="s">
        <v>137</v>
      </c>
      <c r="AP25" s="69" t="s">
        <v>137</v>
      </c>
      <c r="AQ25" s="69" t="s">
        <v>135</v>
      </c>
      <c r="AR25" s="84">
        <f t="shared" si="9"/>
        <v>0.25</v>
      </c>
      <c r="AS25" s="69" t="s">
        <v>137</v>
      </c>
      <c r="AT25" s="69" t="s">
        <v>137</v>
      </c>
      <c r="AU25" s="84">
        <f t="shared" si="10"/>
        <v>0</v>
      </c>
    </row>
    <row r="26" spans="2:47" x14ac:dyDescent="0.35">
      <c r="B26" s="82"/>
      <c r="C26" s="69"/>
      <c r="D26" s="69"/>
      <c r="E26" s="69"/>
      <c r="F26" s="69"/>
      <c r="G26" s="69"/>
      <c r="H26" s="69"/>
      <c r="I26" s="69"/>
      <c r="J26" s="84"/>
      <c r="K26" s="69"/>
      <c r="L26" s="69"/>
      <c r="M26" s="69"/>
      <c r="N26" s="84"/>
      <c r="O26" s="69"/>
      <c r="P26" s="84"/>
      <c r="Q26" s="69"/>
      <c r="R26" s="69"/>
      <c r="S26" s="69"/>
      <c r="T26" s="84"/>
      <c r="U26" s="69"/>
      <c r="V26" s="69"/>
      <c r="W26" s="84"/>
      <c r="X26" s="69"/>
      <c r="Y26" s="69"/>
      <c r="Z26" s="69"/>
      <c r="AA26" s="84"/>
      <c r="AB26" s="69"/>
      <c r="AC26" s="69"/>
      <c r="AD26" s="84"/>
      <c r="AE26" s="69"/>
      <c r="AF26" s="69"/>
      <c r="AG26" s="69"/>
      <c r="AH26" s="69"/>
      <c r="AI26" s="69"/>
      <c r="AJ26" s="84"/>
      <c r="AK26" s="69"/>
      <c r="AL26" s="69"/>
      <c r="AM26" s="69"/>
      <c r="AN26" s="84"/>
      <c r="AO26" s="69"/>
      <c r="AP26" s="69"/>
      <c r="AQ26" s="69"/>
      <c r="AR26" s="84"/>
      <c r="AS26" s="69"/>
      <c r="AT26" s="69"/>
      <c r="AU26" s="84"/>
    </row>
    <row r="27" spans="2:47" x14ac:dyDescent="0.3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</sheetData>
  <mergeCells count="11">
    <mergeCell ref="C3:J3"/>
    <mergeCell ref="AE3:AJ3"/>
    <mergeCell ref="AK3:AN3"/>
    <mergeCell ref="AO3:AR3"/>
    <mergeCell ref="AS3:AU3"/>
    <mergeCell ref="K3:N3"/>
    <mergeCell ref="O3:P3"/>
    <mergeCell ref="Q3:T3"/>
    <mergeCell ref="U3:W3"/>
    <mergeCell ref="X3:AA3"/>
    <mergeCell ref="AB3:AD3"/>
  </mergeCells>
  <dataValidations count="1">
    <dataValidation type="list" allowBlank="1" showInputMessage="1" showErrorMessage="1" sqref="D27:W27 K5:M26 AS5:AT26 AO5:AQ26 AK5:AM26 AE5:AI26 AB5:AC26 X5:Z26 U5:V26 Q5:S26 O5:O26 C5:C27 D5:I26" xr:uid="{00000000-0002-0000-0300-000000000000}">
      <formula1>$A$2:$A$3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 Uso Interno CPFL&amp;1#_x000D_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B1:T26"/>
  <sheetViews>
    <sheetView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O28" sqref="O28"/>
    </sheetView>
  </sheetViews>
  <sheetFormatPr defaultRowHeight="14.5" x14ac:dyDescent="0.35"/>
  <cols>
    <col min="1" max="1" width="3.7265625" customWidth="1"/>
    <col min="2" max="2" width="12.81640625" customWidth="1"/>
    <col min="9" max="12" width="9.1796875" style="23"/>
  </cols>
  <sheetData>
    <row r="1" spans="2:20" x14ac:dyDescent="0.35">
      <c r="C1" s="2" t="s">
        <v>27</v>
      </c>
      <c r="D1" s="2" t="s">
        <v>28</v>
      </c>
      <c r="E1" s="2" t="s">
        <v>2</v>
      </c>
      <c r="F1" s="2" t="s">
        <v>92</v>
      </c>
      <c r="G1" s="2" t="s">
        <v>96</v>
      </c>
      <c r="H1" s="2" t="s">
        <v>7</v>
      </c>
      <c r="I1" s="155" t="s">
        <v>35</v>
      </c>
      <c r="J1" s="155"/>
      <c r="K1" s="155"/>
      <c r="L1" s="155"/>
      <c r="M1" s="155"/>
      <c r="N1" s="155"/>
      <c r="O1" s="155"/>
      <c r="P1" s="155"/>
      <c r="Q1" s="2" t="s">
        <v>36</v>
      </c>
    </row>
    <row r="2" spans="2:20" s="20" customFormat="1" ht="51" customHeight="1" x14ac:dyDescent="0.3">
      <c r="C2" s="8" t="s">
        <v>59</v>
      </c>
      <c r="D2" s="8" t="s">
        <v>60</v>
      </c>
      <c r="E2" s="8" t="s">
        <v>55</v>
      </c>
      <c r="F2" s="8" t="s">
        <v>56</v>
      </c>
      <c r="G2" s="8" t="s">
        <v>57</v>
      </c>
      <c r="H2" s="8" t="s">
        <v>48</v>
      </c>
      <c r="I2" s="156" t="s">
        <v>97</v>
      </c>
      <c r="J2" s="156"/>
      <c r="K2" s="156"/>
      <c r="L2" s="156"/>
      <c r="M2" s="156"/>
      <c r="N2" s="156"/>
      <c r="O2" s="156"/>
      <c r="P2" s="156"/>
      <c r="Q2" s="8" t="s">
        <v>58</v>
      </c>
      <c r="R2" s="8"/>
      <c r="S2" s="8"/>
    </row>
    <row r="3" spans="2:20" s="4" customFormat="1" ht="29" x14ac:dyDescent="0.35">
      <c r="B3" s="3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21" t="s">
        <v>20</v>
      </c>
      <c r="J3" s="21" t="s">
        <v>122</v>
      </c>
      <c r="K3" s="21" t="s">
        <v>123</v>
      </c>
      <c r="L3" s="21" t="s">
        <v>124</v>
      </c>
      <c r="M3" s="10" t="s">
        <v>23</v>
      </c>
      <c r="N3" s="10" t="s">
        <v>24</v>
      </c>
      <c r="O3" s="10" t="s">
        <v>25</v>
      </c>
      <c r="P3" s="10" t="s">
        <v>26</v>
      </c>
      <c r="Q3" s="10" t="s">
        <v>21</v>
      </c>
    </row>
    <row r="4" spans="2:20" x14ac:dyDescent="0.35">
      <c r="B4" s="1" t="s">
        <v>22</v>
      </c>
      <c r="C4" s="18">
        <f>MIN(C5:C104)</f>
        <v>0</v>
      </c>
      <c r="D4" s="19"/>
      <c r="E4" s="18">
        <f>MAX(E5:E104)</f>
        <v>0</v>
      </c>
      <c r="F4" s="22">
        <f>MAX(Propostas!G12:G42)</f>
        <v>0</v>
      </c>
      <c r="G4" s="19">
        <f>MAX(Propostas!H12:H42)</f>
        <v>0</v>
      </c>
      <c r="H4" s="18">
        <f>MAX(H5:H104)</f>
        <v>0</v>
      </c>
      <c r="I4" s="22" t="s">
        <v>8</v>
      </c>
      <c r="J4" s="22"/>
      <c r="K4" s="22"/>
      <c r="L4" s="22"/>
      <c r="M4" s="19"/>
      <c r="N4" s="19"/>
      <c r="O4" s="19"/>
      <c r="P4" s="18">
        <f>MAX(P5:P104)</f>
        <v>0</v>
      </c>
      <c r="Q4" s="18">
        <f>MAX(Q5:Q104)</f>
        <v>0</v>
      </c>
    </row>
    <row r="5" spans="2:20" x14ac:dyDescent="0.35">
      <c r="B5" s="1" t="str">
        <f>IF(ISTEXT(Propostas!A12),Propostas!A12,"")</f>
        <v/>
      </c>
      <c r="C5" s="5" t="str">
        <f>IFERROR(Propostas!E12/Propostas!D12,"")</f>
        <v/>
      </c>
      <c r="D5" s="2" t="str">
        <f t="shared" ref="D5:D25" si="0">IF($C5="","",RANK(C5,$C$5:$C$104,0))</f>
        <v/>
      </c>
      <c r="E5" s="5" t="str">
        <f>IF($C5="","",Propostas!F12/Propostas!C12)</f>
        <v/>
      </c>
      <c r="F5" s="5" t="str">
        <f>IF($C5="","",Propostas!G12/Parâmetros!$F$4)</f>
        <v/>
      </c>
      <c r="G5" s="5" t="str">
        <f>IF($C5="","",Propostas!H12/Parâmetros!$G$4)</f>
        <v/>
      </c>
      <c r="H5" s="5" t="str">
        <f>IF($C5="","",MIN(1,(Propostas!B12-Propostas!C12)/Propostas!B12))</f>
        <v/>
      </c>
      <c r="I5" s="13" t="str">
        <f>IF($C5="","",AVERAGE(Propostas!T12:V12))</f>
        <v/>
      </c>
      <c r="J5" s="33">
        <f>IF(Propostas!T12="","",_xlfn.RANK.EQ(Propostas!T12,Propostas!$T12:$V12,1))</f>
        <v>1</v>
      </c>
      <c r="K5" s="33" t="str">
        <f>IF(Propostas!U12="","",_xlfn.RANK.EQ(Propostas!U12,Propostas!$T12:$V12,1))</f>
        <v/>
      </c>
      <c r="L5" s="33" t="str">
        <f>IF(Propostas!V12="","",_xlfn.RANK.EQ(Propostas!V12,Propostas!$T12:$V12,1))</f>
        <v/>
      </c>
      <c r="M5" s="5" t="e">
        <f>IF(Propostas!T12="","",Parâmetros!J5*(1+(Propostas!T12-Parâmetros!$I5)/SUM(Propostas!$T12:$V12))*VLOOKUP(Dados!B12,Uso_final[],2,0))</f>
        <v>#VALUE!</v>
      </c>
      <c r="N5" s="5" t="str">
        <f>IF(Propostas!U12="","",Parâmetros!K5*(1+(Propostas!U12-Parâmetros!$I5)/SUM(Propostas!$T12:$V12))*VLOOKUP(Dados!C12,Uso_final[],2,0))</f>
        <v/>
      </c>
      <c r="O5" s="5" t="str">
        <f>IF(Propostas!V12="","",Parâmetros!L5*(1+(Propostas!V12-Parâmetros!$I5)/SUM(Propostas!$T12:$V12))*VLOOKUP(Dados!D12,Uso_final[],2,0))</f>
        <v/>
      </c>
      <c r="P5" s="5" t="str">
        <f t="shared" ref="P5:P10" si="1">IF(C5="","",SUM(M5:O5)-1)</f>
        <v/>
      </c>
      <c r="Q5" s="5" t="str">
        <f>IF($C5="","",MIN(1,(Propostas!W12+Propostas!X12)/Propostas!B12))</f>
        <v/>
      </c>
      <c r="T5" s="30"/>
    </row>
    <row r="6" spans="2:20" x14ac:dyDescent="0.35">
      <c r="B6" s="1" t="str">
        <f>IF(ISTEXT(Propostas!A13),Propostas!A13,"")</f>
        <v/>
      </c>
      <c r="C6" s="5" t="str">
        <f>IFERROR(Propostas!E13/Propostas!D13,"")</f>
        <v/>
      </c>
      <c r="D6" s="2" t="str">
        <f t="shared" si="0"/>
        <v/>
      </c>
      <c r="E6" s="5" t="str">
        <f>IF($C6="","",Propostas!F13/Propostas!C13)</f>
        <v/>
      </c>
      <c r="F6" s="5" t="str">
        <f>IF($C6="","",Propostas!G13/Parâmetros!$F$4)</f>
        <v/>
      </c>
      <c r="G6" s="5" t="str">
        <f>IF($C6="","",Propostas!H13/Parâmetros!$G$4)</f>
        <v/>
      </c>
      <c r="H6" s="5" t="str">
        <f>IF($C6="","",MIN(1,(Propostas!B13-Propostas!C13)/Propostas!B13))</f>
        <v/>
      </c>
      <c r="I6" s="13" t="str">
        <f>IF($C6="","",AVERAGE(Propostas!T13:V13))</f>
        <v/>
      </c>
      <c r="J6" s="33">
        <f>IF(Propostas!T13="","",_xlfn.RANK.EQ(Propostas!T13,Propostas!$T13:$V13,1))</f>
        <v>1</v>
      </c>
      <c r="K6" s="33" t="str">
        <f>IF(Propostas!U13="","",_xlfn.RANK.EQ(Propostas!U13,Propostas!$T13:$V13,1))</f>
        <v/>
      </c>
      <c r="L6" s="33" t="str">
        <f>IF(Propostas!V13="","",_xlfn.RANK.EQ(Propostas!V13,Propostas!$T13:$V13,1))</f>
        <v/>
      </c>
      <c r="M6" s="5" t="e">
        <f>IF(Propostas!T13="","",Parâmetros!J6*(1+(Propostas!T13-Parâmetros!$I6)/SUM(Propostas!$T13:$V13))*VLOOKUP(Dados!B13,Uso_final[],2,0))</f>
        <v>#VALUE!</v>
      </c>
      <c r="N6" s="5" t="str">
        <f>IF(Propostas!U13="","",Parâmetros!K6*(1+(Propostas!U13-Parâmetros!$I6)/SUM(Propostas!$T13:$V13))*VLOOKUP(Dados!C13,Uso_final[],2,0))</f>
        <v/>
      </c>
      <c r="O6" s="5" t="str">
        <f>IF(Propostas!V13="","",Parâmetros!L6*(1+(Propostas!V13-Parâmetros!$I6)/SUM(Propostas!$T13:$V13))*VLOOKUP(Dados!D13,Uso_final[],2,0))</f>
        <v/>
      </c>
      <c r="P6" s="5" t="str">
        <f t="shared" si="1"/>
        <v/>
      </c>
      <c r="Q6" s="5" t="str">
        <f>IF($C6="","",MIN(1,(Propostas!W13+Propostas!X13)/Propostas!B13))</f>
        <v/>
      </c>
      <c r="T6" s="30"/>
    </row>
    <row r="7" spans="2:20" x14ac:dyDescent="0.35">
      <c r="B7" s="1" t="str">
        <f>IF(ISTEXT(Propostas!A14),Propostas!A14,"")</f>
        <v/>
      </c>
      <c r="C7" s="5" t="str">
        <f>IFERROR(Propostas!E14/Propostas!D14,"")</f>
        <v/>
      </c>
      <c r="D7" s="2" t="str">
        <f t="shared" si="0"/>
        <v/>
      </c>
      <c r="E7" s="5" t="str">
        <f>IF($C7="","",Propostas!F14/Propostas!C14)</f>
        <v/>
      </c>
      <c r="F7" s="5" t="str">
        <f>IF($C7="","",Propostas!G14/Parâmetros!$F$4)</f>
        <v/>
      </c>
      <c r="G7" s="5" t="str">
        <f>IF($C7="","",Propostas!H14/Parâmetros!$G$4)</f>
        <v/>
      </c>
      <c r="H7" s="5" t="str">
        <f>IF($C7="","",MIN(1,(Propostas!B14-Propostas!C14)/Propostas!B14))</f>
        <v/>
      </c>
      <c r="I7" s="13" t="str">
        <f>IF($C7="","",AVERAGE(Propostas!T14:V14))</f>
        <v/>
      </c>
      <c r="J7" s="33">
        <f>IF(Propostas!T14="","",_xlfn.RANK.EQ(Propostas!T14,Propostas!$T14:$V14,1))</f>
        <v>1</v>
      </c>
      <c r="K7" s="33" t="str">
        <f>IF(Propostas!U14="","",_xlfn.RANK.EQ(Propostas!U14,Propostas!$T14:$V14,1))</f>
        <v/>
      </c>
      <c r="L7" s="33" t="str">
        <f>IF(Propostas!V14="","",_xlfn.RANK.EQ(Propostas!V14,Propostas!$T14:$V14,1))</f>
        <v/>
      </c>
      <c r="M7" s="5" t="e">
        <f>IF(Propostas!T14="","",Parâmetros!J7*(1+(Propostas!T14-Parâmetros!$I7)/SUM(Propostas!$T14:$V14))*VLOOKUP(Dados!B14,Uso_final[],2,0))</f>
        <v>#VALUE!</v>
      </c>
      <c r="N7" s="5" t="str">
        <f>IF(Propostas!U14="","",Parâmetros!K7*(1+(Propostas!U14-Parâmetros!$I7)/SUM(Propostas!$T14:$V14))*VLOOKUP(Dados!C14,Uso_final[],2,0))</f>
        <v/>
      </c>
      <c r="O7" s="5" t="str">
        <f>IF(Propostas!V14="","",Parâmetros!L7*(1+(Propostas!V14-Parâmetros!$I7)/SUM(Propostas!$T14:$V14))*VLOOKUP(Dados!D14,Uso_final[],2,0))</f>
        <v/>
      </c>
      <c r="P7" s="5" t="str">
        <f t="shared" si="1"/>
        <v/>
      </c>
      <c r="Q7" s="5" t="str">
        <f>IF($C7="","",MIN(1,(Propostas!W14+Propostas!X14)/Propostas!B14))</f>
        <v/>
      </c>
      <c r="T7" s="30"/>
    </row>
    <row r="8" spans="2:20" x14ac:dyDescent="0.35">
      <c r="B8" s="1" t="str">
        <f>IF(ISTEXT(Propostas!A15),Propostas!A15,"")</f>
        <v/>
      </c>
      <c r="C8" s="5" t="str">
        <f>IFERROR(Propostas!E15/Propostas!D15,"")</f>
        <v/>
      </c>
      <c r="D8" s="2" t="str">
        <f t="shared" si="0"/>
        <v/>
      </c>
      <c r="E8" s="5" t="str">
        <f>IF($C8="","",Propostas!F15/Propostas!C15)</f>
        <v/>
      </c>
      <c r="F8" s="5" t="str">
        <f>IF($C8="","",Propostas!G15/Parâmetros!$F$4)</f>
        <v/>
      </c>
      <c r="G8" s="5" t="str">
        <f>IF($C8="","",Propostas!H15/Parâmetros!$G$4)</f>
        <v/>
      </c>
      <c r="H8" s="5" t="str">
        <f>IF($C8="","",MIN(1,(Propostas!B15-Propostas!C15)/Propostas!B15))</f>
        <v/>
      </c>
      <c r="I8" s="13" t="str">
        <f>IF($C8="","",AVERAGE(Propostas!T15:V15))</f>
        <v/>
      </c>
      <c r="J8" s="33">
        <f>IF(Propostas!T15="","",_xlfn.RANK.EQ(Propostas!T15,Propostas!$T15:$V15,1))</f>
        <v>1</v>
      </c>
      <c r="K8" s="33" t="str">
        <f>IF(Propostas!U15="","",_xlfn.RANK.EQ(Propostas!U15,Propostas!$T15:$V15,1))</f>
        <v/>
      </c>
      <c r="L8" s="33" t="str">
        <f>IF(Propostas!V15="","",_xlfn.RANK.EQ(Propostas!V15,Propostas!$T15:$V15,1))</f>
        <v/>
      </c>
      <c r="M8" s="5" t="e">
        <f>IF(Propostas!T15="","",Parâmetros!J8*(1+(Propostas!T15-Parâmetros!$I8)/SUM(Propostas!$T15:$V15))*VLOOKUP(Dados!B15,Uso_final[],2,0))</f>
        <v>#VALUE!</v>
      </c>
      <c r="N8" s="5" t="str">
        <f>IF(Propostas!U15="","",Parâmetros!K8*(1+(Propostas!U15-Parâmetros!$I8)/SUM(Propostas!$T15:$V15))*VLOOKUP(Dados!C15,Uso_final[],2,0))</f>
        <v/>
      </c>
      <c r="O8" s="5" t="str">
        <f>IF(Propostas!V15="","",Parâmetros!L8*(1+(Propostas!V15-Parâmetros!$I8)/SUM(Propostas!$T15:$V15))*VLOOKUP(Dados!D15,Uso_final[],2,0))</f>
        <v/>
      </c>
      <c r="P8" s="5" t="str">
        <f t="shared" si="1"/>
        <v/>
      </c>
      <c r="Q8" s="5" t="str">
        <f>IF($C8="","",MIN(1,(Propostas!W15+Propostas!X15)/Propostas!B15))</f>
        <v/>
      </c>
      <c r="T8" s="30"/>
    </row>
    <row r="9" spans="2:20" x14ac:dyDescent="0.35">
      <c r="B9" s="1" t="str">
        <f>IF(ISTEXT(Propostas!A16),Propostas!A16,"")</f>
        <v/>
      </c>
      <c r="C9" s="5" t="str">
        <f>IFERROR(Propostas!E16/Propostas!D16,"")</f>
        <v/>
      </c>
      <c r="D9" s="2" t="str">
        <f t="shared" si="0"/>
        <v/>
      </c>
      <c r="E9" s="5" t="str">
        <f>IF($C9="","",Propostas!F16/Propostas!C16)</f>
        <v/>
      </c>
      <c r="F9" s="5" t="str">
        <f>IF($C9="","",Propostas!G16/Parâmetros!$F$4)</f>
        <v/>
      </c>
      <c r="G9" s="5" t="str">
        <f>IF($C9="","",Propostas!H16/Parâmetros!$G$4)</f>
        <v/>
      </c>
      <c r="H9" s="5" t="str">
        <f>IF($C9="","",MIN(1,(Propostas!B16-Propostas!C16)/Propostas!B16))</f>
        <v/>
      </c>
      <c r="I9" s="13" t="str">
        <f>IF($C9="","",AVERAGE(Propostas!T16:V16))</f>
        <v/>
      </c>
      <c r="J9" s="33">
        <f>IF(Propostas!T16="","",_xlfn.RANK.EQ(Propostas!T16,Propostas!$T16:$V16,1))</f>
        <v>1</v>
      </c>
      <c r="K9" s="33" t="str">
        <f>IF(Propostas!U16="","",_xlfn.RANK.EQ(Propostas!U16,Propostas!$T16:$V16,1))</f>
        <v/>
      </c>
      <c r="L9" s="33" t="str">
        <f>IF(Propostas!V16="","",_xlfn.RANK.EQ(Propostas!V16,Propostas!$T16:$V16,1))</f>
        <v/>
      </c>
      <c r="M9" s="5" t="e">
        <f>IF(Propostas!T16="","",Parâmetros!J9*(1+(Propostas!T16-Parâmetros!$I9)/SUM(Propostas!$T16:$V16))*VLOOKUP(Dados!B16,Uso_final[],2,0))</f>
        <v>#VALUE!</v>
      </c>
      <c r="N9" s="5" t="str">
        <f>IF(Propostas!U16="","",Parâmetros!K9*(1+(Propostas!U16-Parâmetros!$I9)/SUM(Propostas!$T16:$V16))*VLOOKUP(Dados!C16,Uso_final[],2,0))</f>
        <v/>
      </c>
      <c r="O9" s="5" t="str">
        <f>IF(Propostas!V16="","",Parâmetros!L9*(1+(Propostas!V16-Parâmetros!$I9)/SUM(Propostas!$T16:$V16))*VLOOKUP(Dados!D16,Uso_final[],2,0))</f>
        <v/>
      </c>
      <c r="P9" s="5" t="str">
        <f t="shared" si="1"/>
        <v/>
      </c>
      <c r="Q9" s="5" t="str">
        <f>IF($C9="","",MIN(1,(Propostas!W16+Propostas!X16)/Propostas!B16))</f>
        <v/>
      </c>
      <c r="T9" s="30"/>
    </row>
    <row r="10" spans="2:20" x14ac:dyDescent="0.35">
      <c r="B10" s="1" t="str">
        <f>IF(ISTEXT(Propostas!A17),Propostas!A17,"")</f>
        <v/>
      </c>
      <c r="C10" s="5" t="str">
        <f>IFERROR(Propostas!E17/Propostas!D17,"")</f>
        <v/>
      </c>
      <c r="D10" s="2" t="str">
        <f t="shared" si="0"/>
        <v/>
      </c>
      <c r="E10" s="5" t="str">
        <f>IF($C10="","",Propostas!F17/Propostas!C17)</f>
        <v/>
      </c>
      <c r="F10" s="5" t="str">
        <f>IF($C10="","",Propostas!G17/Parâmetros!$F$4)</f>
        <v/>
      </c>
      <c r="G10" s="5" t="str">
        <f>IF($C10="","",Propostas!H17/Parâmetros!$G$4)</f>
        <v/>
      </c>
      <c r="H10" s="5" t="str">
        <f>IF($C10="","",MIN(1,(Propostas!B17-Propostas!C17)/Propostas!B17))</f>
        <v/>
      </c>
      <c r="I10" s="13" t="str">
        <f>IF($C10="","",AVERAGE(Propostas!T17:V17))</f>
        <v/>
      </c>
      <c r="J10" s="33">
        <f>IF(Propostas!T17="","",_xlfn.RANK.EQ(Propostas!T17,Propostas!$T17:$V17,1))</f>
        <v>1</v>
      </c>
      <c r="K10" s="33" t="str">
        <f>IF(Propostas!U17="","",_xlfn.RANK.EQ(Propostas!U17,Propostas!$T17:$V17,1))</f>
        <v/>
      </c>
      <c r="L10" s="33" t="str">
        <f>IF(Propostas!V17="","",_xlfn.RANK.EQ(Propostas!V17,Propostas!$T17:$V17,1))</f>
        <v/>
      </c>
      <c r="M10" s="5" t="e">
        <f>IF(Propostas!T17="","",Parâmetros!J10*(1+(Propostas!T17-Parâmetros!$I10)/SUM(Propostas!$T17:$V17))*VLOOKUP(Dados!B17,Uso_final[],2,0))</f>
        <v>#VALUE!</v>
      </c>
      <c r="N10" s="5" t="str">
        <f>IF(Propostas!U17="","",Parâmetros!K10*(1+(Propostas!U17-Parâmetros!$I10)/SUM(Propostas!$T17:$V17))*VLOOKUP(Dados!C17,Uso_final[],2,0))</f>
        <v/>
      </c>
      <c r="O10" s="5" t="str">
        <f>IF(Propostas!V17="","",Parâmetros!L10*(1+(Propostas!V17-Parâmetros!$I10)/SUM(Propostas!$T17:$V17))*VLOOKUP(Dados!D17,Uso_final[],2,0))</f>
        <v/>
      </c>
      <c r="P10" s="5" t="str">
        <f t="shared" si="1"/>
        <v/>
      </c>
      <c r="Q10" s="5" t="str">
        <f>IF($C10="","",MIN(1,(Propostas!W17+Propostas!X17)/Propostas!B17))</f>
        <v/>
      </c>
      <c r="T10" s="30"/>
    </row>
    <row r="11" spans="2:20" x14ac:dyDescent="0.35">
      <c r="B11" s="1" t="str">
        <f>IF(ISTEXT(Propostas!A18),Propostas!A18,"")</f>
        <v/>
      </c>
      <c r="C11" s="5" t="str">
        <f>IFERROR(Propostas!E18/Propostas!D18,"")</f>
        <v/>
      </c>
      <c r="D11" s="2" t="str">
        <f t="shared" si="0"/>
        <v/>
      </c>
      <c r="E11" s="5" t="str">
        <f>IF($C11="","",Propostas!F18/Propostas!C18)</f>
        <v/>
      </c>
      <c r="F11" s="5" t="str">
        <f>IF($C11="","",Propostas!G18/Parâmetros!$F$4)</f>
        <v/>
      </c>
      <c r="G11" s="5" t="str">
        <f>IF($C11="","",Propostas!H18/Parâmetros!$G$4)</f>
        <v/>
      </c>
      <c r="H11" s="5" t="str">
        <f>IF($C11="","",MIN(1,(Propostas!B18-Propostas!C18)/Propostas!B18))</f>
        <v/>
      </c>
      <c r="I11" s="13" t="str">
        <f>IF($C11="","",AVERAGE(Propostas!T18:V18))</f>
        <v/>
      </c>
      <c r="J11" s="33">
        <f>IF(Propostas!T18="","",_xlfn.RANK.EQ(Propostas!T18,Propostas!$T18:$V18,1))</f>
        <v>1</v>
      </c>
      <c r="K11" s="33" t="str">
        <f>IF(Propostas!U18="","",_xlfn.RANK.EQ(Propostas!U18,Propostas!$T18:$V18,1))</f>
        <v/>
      </c>
      <c r="L11" s="33" t="str">
        <f>IF(Propostas!V18="","",_xlfn.RANK.EQ(Propostas!V18,Propostas!$T18:$V18,1))</f>
        <v/>
      </c>
      <c r="M11" s="5" t="e">
        <f>IF(Propostas!T18="","",Parâmetros!J11*(1+(Propostas!T18-Parâmetros!$I11)/SUM(Propostas!$T18:$V18))*VLOOKUP(Dados!B18,Uso_final[],2,0))</f>
        <v>#VALUE!</v>
      </c>
      <c r="N11" s="5" t="str">
        <f>IF(Propostas!U18="","",Parâmetros!K11*(1+(Propostas!U18-Parâmetros!$I11)/SUM(Propostas!$T18:$V18))*VLOOKUP(Dados!C18,Uso_final[],2,0))</f>
        <v/>
      </c>
      <c r="O11" s="5" t="str">
        <f>IF(Propostas!V18="","",Parâmetros!L11*(1+(Propostas!V18-Parâmetros!$I11)/SUM(Propostas!$T18:$V18))*VLOOKUP(Dados!D18,Uso_final[],2,0))</f>
        <v/>
      </c>
      <c r="P11" s="5" t="str">
        <f t="shared" ref="P11" si="2">IF(C11="","",SUM(M11:O11)-1)</f>
        <v/>
      </c>
      <c r="Q11" s="5" t="str">
        <f>IF($C11="","",MIN(1,(Propostas!W18+Propostas!X18)/Propostas!B18))</f>
        <v/>
      </c>
      <c r="S11" s="30"/>
      <c r="T11" s="30"/>
    </row>
    <row r="12" spans="2:20" x14ac:dyDescent="0.35">
      <c r="B12" s="1" t="str">
        <f>IF(ISTEXT(Propostas!A19),Propostas!A19,"")</f>
        <v/>
      </c>
      <c r="C12" s="5" t="str">
        <f>IFERROR(Propostas!E19/Propostas!D19,"")</f>
        <v/>
      </c>
      <c r="D12" s="2" t="str">
        <f t="shared" si="0"/>
        <v/>
      </c>
      <c r="E12" s="5" t="str">
        <f>IF($C12="","",Propostas!F19/Propostas!C19)</f>
        <v/>
      </c>
      <c r="F12" s="5" t="str">
        <f>IF($C12="","",Propostas!G19/Parâmetros!$F$4)</f>
        <v/>
      </c>
      <c r="G12" s="5" t="str">
        <f>IF($C12="","",Propostas!H19/Parâmetros!$G$4)</f>
        <v/>
      </c>
      <c r="H12" s="5" t="str">
        <f>IF($C12="","",MIN(1,(Propostas!B19-Propostas!C19)/Propostas!B19))</f>
        <v/>
      </c>
      <c r="I12" s="13" t="str">
        <f>IF($C12="","",AVERAGE(Propostas!T19:V19))</f>
        <v/>
      </c>
      <c r="J12" s="33">
        <f>IF(Propostas!T19="","",_xlfn.RANK.EQ(Propostas!T19,Propostas!$T19:$V19,1))</f>
        <v>1</v>
      </c>
      <c r="K12" s="33" t="str">
        <f>IF(Propostas!U19="","",_xlfn.RANK.EQ(Propostas!U19,Propostas!$T19:$V19,1))</f>
        <v/>
      </c>
      <c r="L12" s="33" t="str">
        <f>IF(Propostas!V19="","",_xlfn.RANK.EQ(Propostas!V19,Propostas!$T19:$V19,1))</f>
        <v/>
      </c>
      <c r="M12" s="5" t="e">
        <f>IF(Propostas!T19="","",Parâmetros!J12*(1+(Propostas!T19-Parâmetros!$I12)/SUM(Propostas!$T19:$V19))*VLOOKUP(Dados!B19,Uso_final[],2,0))</f>
        <v>#VALUE!</v>
      </c>
      <c r="N12" s="5" t="str">
        <f>IF(Propostas!U19="","",Parâmetros!K12*(1+(Propostas!U19-Parâmetros!$I12)/SUM(Propostas!$T19:$V19))*VLOOKUP(Dados!C19,Uso_final[],2,0))</f>
        <v/>
      </c>
      <c r="O12" s="5" t="str">
        <f>IF(Propostas!V19="","",Parâmetros!L12*(1+(Propostas!V19-Parâmetros!$I12)/SUM(Propostas!$T19:$V19))*VLOOKUP(Dados!D19,Uso_final[],2,0))</f>
        <v/>
      </c>
      <c r="P12" s="5" t="str">
        <f t="shared" ref="P12" si="3">IF(C12="","",SUM(M12:O12)-1)</f>
        <v/>
      </c>
      <c r="Q12" s="5" t="str">
        <f>IF($C12="","",MIN(1,(Propostas!W19+Propostas!X19)/Propostas!B19))</f>
        <v/>
      </c>
      <c r="T12" s="30"/>
    </row>
    <row r="13" spans="2:20" x14ac:dyDescent="0.35">
      <c r="B13" s="1" t="str">
        <f>IF(ISTEXT(Propostas!A20),Propostas!A20,"")</f>
        <v/>
      </c>
      <c r="C13" s="5" t="str">
        <f>IFERROR(Propostas!E20/Propostas!D20,"")</f>
        <v/>
      </c>
      <c r="D13" s="2" t="str">
        <f t="shared" si="0"/>
        <v/>
      </c>
      <c r="E13" s="5" t="str">
        <f>IF($C13="","",Propostas!F20/Propostas!C20)</f>
        <v/>
      </c>
      <c r="F13" s="5" t="str">
        <f>IF($C13="","",Propostas!G20/Parâmetros!$F$4)</f>
        <v/>
      </c>
      <c r="G13" s="5" t="str">
        <f>IF($C13="","",Propostas!H20/Parâmetros!$G$4)</f>
        <v/>
      </c>
      <c r="H13" s="5" t="str">
        <f>IF($C13="","",MIN(1,(Propostas!B20-Propostas!C20)/Propostas!B20))</f>
        <v/>
      </c>
      <c r="I13" s="13" t="str">
        <f>IF($C13="","",AVERAGE(Propostas!T20:V20))</f>
        <v/>
      </c>
      <c r="J13" s="33">
        <f>IF(Propostas!T20="","",_xlfn.RANK.EQ(Propostas!T20,Propostas!$T20:$V20,1))</f>
        <v>1</v>
      </c>
      <c r="K13" s="33" t="str">
        <f>IF(Propostas!U20="","",_xlfn.RANK.EQ(Propostas!U20,Propostas!$T20:$V20,1))</f>
        <v/>
      </c>
      <c r="L13" s="33" t="str">
        <f>IF(Propostas!V20="","",_xlfn.RANK.EQ(Propostas!V20,Propostas!$T20:$V20,1))</f>
        <v/>
      </c>
      <c r="M13" s="5" t="e">
        <f>IF(Propostas!T20="","",Parâmetros!J13*(1+(Propostas!T20-Parâmetros!$I13)/SUM(Propostas!$T20:$V20))*VLOOKUP(Dados!B20,Uso_final[],2,0))</f>
        <v>#VALUE!</v>
      </c>
      <c r="N13" s="5" t="str">
        <f>IF(Propostas!U20="","",Parâmetros!K13*(1+(Propostas!U20-Parâmetros!$I13)/SUM(Propostas!$T20:$V20))*VLOOKUP(Dados!C20,Uso_final[],2,0))</f>
        <v/>
      </c>
      <c r="O13" s="5" t="str">
        <f>IF(Propostas!V20="","",Parâmetros!L13*(1+(Propostas!V20-Parâmetros!$I13)/SUM(Propostas!$T20:$V20))*VLOOKUP(Dados!D20,Uso_final[],2,0))</f>
        <v/>
      </c>
      <c r="P13" s="5" t="str">
        <f t="shared" ref="P13:P17" si="4">IF(C13="","",SUM(M13:O13)-1)</f>
        <v/>
      </c>
      <c r="Q13" s="5" t="str">
        <f>IF($C13="","",MIN(1,(Propostas!W20+Propostas!X20)/Propostas!B20))</f>
        <v/>
      </c>
      <c r="T13" s="30"/>
    </row>
    <row r="14" spans="2:20" x14ac:dyDescent="0.35">
      <c r="B14" s="1" t="str">
        <f>IF(ISTEXT(Propostas!A21),Propostas!A21,"")</f>
        <v/>
      </c>
      <c r="C14" s="5" t="str">
        <f>IFERROR(Propostas!E21/Propostas!D21,"")</f>
        <v/>
      </c>
      <c r="D14" s="2" t="str">
        <f t="shared" si="0"/>
        <v/>
      </c>
      <c r="E14" s="5" t="str">
        <f>IF($C14="","",Propostas!F21/Propostas!C21)</f>
        <v/>
      </c>
      <c r="F14" s="5" t="str">
        <f>IF($C14="","",Propostas!G21/Parâmetros!$F$4)</f>
        <v/>
      </c>
      <c r="G14" s="5" t="str">
        <f>IF($C14="","",Propostas!H21/Parâmetros!$G$4)</f>
        <v/>
      </c>
      <c r="H14" s="5" t="str">
        <f>IF($C14="","",MIN(1,(Propostas!B21-Propostas!C21)/Propostas!B21))</f>
        <v/>
      </c>
      <c r="I14" s="13" t="str">
        <f>IF($C14="","",AVERAGE(Propostas!T21:V21))</f>
        <v/>
      </c>
      <c r="J14" s="33">
        <f>IF(Propostas!T21="","",_xlfn.RANK.EQ(Propostas!T21,Propostas!$T21:$V21,1))</f>
        <v>1</v>
      </c>
      <c r="K14" s="33" t="str">
        <f>IF(Propostas!U21="","",_xlfn.RANK.EQ(Propostas!U21,Propostas!$T21:$V21,1))</f>
        <v/>
      </c>
      <c r="L14" s="33" t="str">
        <f>IF(Propostas!V21="","",_xlfn.RANK.EQ(Propostas!V21,Propostas!$T21:$V21,1))</f>
        <v/>
      </c>
      <c r="M14" s="5" t="e">
        <f>IF(Propostas!T21="","",Parâmetros!J14*(1+(Propostas!T21-Parâmetros!$I14)/SUM(Propostas!$T21:$V21))*VLOOKUP(Dados!B21,Uso_final[],2,0))</f>
        <v>#VALUE!</v>
      </c>
      <c r="N14" s="5" t="str">
        <f>IF(Propostas!U21="","",Parâmetros!K14*(1+(Propostas!U21-Parâmetros!$I14)/SUM(Propostas!$T21:$V21))*VLOOKUP(Dados!C21,Uso_final[],2,0))</f>
        <v/>
      </c>
      <c r="O14" s="5" t="str">
        <f>IF(Propostas!V21="","",Parâmetros!L14*(1+(Propostas!V21-Parâmetros!$I14)/SUM(Propostas!$T21:$V21))*VLOOKUP(Dados!D21,Uso_final[],2,0))</f>
        <v/>
      </c>
      <c r="P14" s="5" t="str">
        <f t="shared" si="4"/>
        <v/>
      </c>
      <c r="Q14" s="5" t="str">
        <f>IF($C14="","",MIN(1,(Propostas!W21+Propostas!X21)/Propostas!B21))</f>
        <v/>
      </c>
      <c r="T14" s="30"/>
    </row>
    <row r="15" spans="2:20" x14ac:dyDescent="0.35">
      <c r="B15" s="1" t="str">
        <f>IF(ISTEXT(Propostas!A22),Propostas!A22,"")</f>
        <v/>
      </c>
      <c r="C15" s="5" t="str">
        <f>IFERROR(Propostas!E22/Propostas!D22,"")</f>
        <v/>
      </c>
      <c r="D15" s="2" t="str">
        <f t="shared" si="0"/>
        <v/>
      </c>
      <c r="E15" s="5" t="str">
        <f>IF($C15="","",Propostas!F22/Propostas!C22)</f>
        <v/>
      </c>
      <c r="F15" s="5" t="str">
        <f>IF($C15="","",Propostas!G22/Parâmetros!$F$4)</f>
        <v/>
      </c>
      <c r="G15" s="5" t="str">
        <f>IF($C15="","",Propostas!H22/Parâmetros!$G$4)</f>
        <v/>
      </c>
      <c r="H15" s="5" t="str">
        <f>IF($C15="","",MIN(1,(Propostas!B22-Propostas!C22)/Propostas!B22))</f>
        <v/>
      </c>
      <c r="I15" s="13" t="str">
        <f>IF($C15="","",AVERAGE(Propostas!T22:V22))</f>
        <v/>
      </c>
      <c r="J15" s="33">
        <f>IF(Propostas!T22="","",_xlfn.RANK.EQ(Propostas!T22,Propostas!$T22:$V22,1))</f>
        <v>1</v>
      </c>
      <c r="K15" s="33" t="str">
        <f>IF(Propostas!U22="","",_xlfn.RANK.EQ(Propostas!U22,Propostas!$T22:$V22,1))</f>
        <v/>
      </c>
      <c r="L15" s="33" t="str">
        <f>IF(Propostas!V22="","",_xlfn.RANK.EQ(Propostas!V22,Propostas!$T22:$V22,1))</f>
        <v/>
      </c>
      <c r="M15" s="5" t="e">
        <f>IF(Propostas!T22="","",Parâmetros!J15*(1+(Propostas!T22-Parâmetros!$I15)/SUM(Propostas!$T22:$V22))*VLOOKUP(Dados!B22,Uso_final[],2,0))</f>
        <v>#VALUE!</v>
      </c>
      <c r="N15" s="5" t="str">
        <f>IF(Propostas!U22="","",Parâmetros!K15*(1+(Propostas!U22-Parâmetros!$I15)/SUM(Propostas!$T22:$V22))*VLOOKUP(Dados!C22,Uso_final[],2,0))</f>
        <v/>
      </c>
      <c r="O15" s="5" t="str">
        <f>IF(Propostas!V22="","",Parâmetros!L15*(1+(Propostas!V22-Parâmetros!$I15)/SUM(Propostas!$T22:$V22))*VLOOKUP(Dados!D22,Uso_final[],2,0))</f>
        <v/>
      </c>
      <c r="P15" s="5" t="str">
        <f t="shared" si="4"/>
        <v/>
      </c>
      <c r="Q15" s="5" t="str">
        <f>IF($C15="","",MIN(1,(Propostas!W22+Propostas!X22)/Propostas!B22))</f>
        <v/>
      </c>
      <c r="T15" s="30"/>
    </row>
    <row r="16" spans="2:20" x14ac:dyDescent="0.35">
      <c r="B16" s="1" t="str">
        <f>IF(ISTEXT(Propostas!A23),Propostas!A23,"")</f>
        <v/>
      </c>
      <c r="C16" s="5" t="str">
        <f>IFERROR(Propostas!E23/Propostas!D23,"")</f>
        <v/>
      </c>
      <c r="D16" s="2" t="str">
        <f t="shared" si="0"/>
        <v/>
      </c>
      <c r="E16" s="5" t="str">
        <f>IF($C16="","",Propostas!F23/Propostas!C23)</f>
        <v/>
      </c>
      <c r="F16" s="5" t="str">
        <f>IF($C16="","",Propostas!G23/Parâmetros!$F$4)</f>
        <v/>
      </c>
      <c r="G16" s="5" t="str">
        <f>IF($C16="","",Propostas!H23/Parâmetros!$G$4)</f>
        <v/>
      </c>
      <c r="H16" s="5" t="str">
        <f>IF($C16="","",MIN(1,(Propostas!B23-Propostas!C23)/Propostas!B23))</f>
        <v/>
      </c>
      <c r="I16" s="13" t="str">
        <f>IF($C16="","",AVERAGE(Propostas!T23:V23))</f>
        <v/>
      </c>
      <c r="J16" s="33">
        <f>IF(Propostas!T23="","",_xlfn.RANK.EQ(Propostas!T23,Propostas!$T23:$V23,1))</f>
        <v>1</v>
      </c>
      <c r="K16" s="33" t="str">
        <f>IF(Propostas!U23="","",_xlfn.RANK.EQ(Propostas!U23,Propostas!$T23:$V23,1))</f>
        <v/>
      </c>
      <c r="L16" s="33" t="str">
        <f>IF(Propostas!V23="","",_xlfn.RANK.EQ(Propostas!V23,Propostas!$T23:$V23,1))</f>
        <v/>
      </c>
      <c r="M16" s="5" t="e">
        <f>IF(Propostas!T23="","",Parâmetros!J16*(1+(Propostas!T23-Parâmetros!$I16)/SUM(Propostas!$T23:$V23))*VLOOKUP(Dados!B23,Uso_final[],2,0))</f>
        <v>#VALUE!</v>
      </c>
      <c r="N16" s="5" t="str">
        <f>IF(Propostas!U23="","",Parâmetros!K16*(1+(Propostas!U23-Parâmetros!$I16)/SUM(Propostas!$T23:$V23))*VLOOKUP(Dados!C23,Uso_final[],2,0))</f>
        <v/>
      </c>
      <c r="O16" s="5" t="str">
        <f>IF(Propostas!V23="","",Parâmetros!L16*(1+(Propostas!V23-Parâmetros!$I16)/SUM(Propostas!$T23:$V23))*VLOOKUP(Dados!D23,Uso_final[],2,0))</f>
        <v/>
      </c>
      <c r="P16" s="5" t="str">
        <f t="shared" si="4"/>
        <v/>
      </c>
      <c r="Q16" s="5" t="str">
        <f>IF($C16="","",MIN(1,(Propostas!W23+Propostas!X23)/Propostas!B23))</f>
        <v/>
      </c>
      <c r="T16" s="30"/>
    </row>
    <row r="17" spans="2:20" x14ac:dyDescent="0.35">
      <c r="B17" s="1" t="str">
        <f>IF(ISTEXT(Propostas!A24),Propostas!A24,"")</f>
        <v/>
      </c>
      <c r="C17" s="5" t="str">
        <f>IFERROR(Propostas!E24/Propostas!D24,"")</f>
        <v/>
      </c>
      <c r="D17" s="2" t="str">
        <f t="shared" si="0"/>
        <v/>
      </c>
      <c r="E17" s="5" t="str">
        <f>IF($C17="","",Propostas!F24/Propostas!C24)</f>
        <v/>
      </c>
      <c r="F17" s="5" t="str">
        <f>IF($C17="","",Propostas!G24/Parâmetros!$F$4)</f>
        <v/>
      </c>
      <c r="G17" s="5" t="str">
        <f>IF($C17="","",Propostas!H24/Parâmetros!$G$4)</f>
        <v/>
      </c>
      <c r="H17" s="5" t="str">
        <f>IF($C17="","",MIN(1,(Propostas!B24-Propostas!C24)/Propostas!B24))</f>
        <v/>
      </c>
      <c r="I17" s="13" t="str">
        <f>IF($C17="","",AVERAGE(Propostas!T24:V24))</f>
        <v/>
      </c>
      <c r="J17" s="33">
        <f>IF(Propostas!T24="","",_xlfn.RANK.EQ(Propostas!T24,Propostas!$T24:$V24,1))</f>
        <v>1</v>
      </c>
      <c r="K17" s="33" t="str">
        <f>IF(Propostas!U24="","",_xlfn.RANK.EQ(Propostas!U24,Propostas!$T24:$V24,1))</f>
        <v/>
      </c>
      <c r="L17" s="33" t="str">
        <f>IF(Propostas!V24="","",_xlfn.RANK.EQ(Propostas!V24,Propostas!$T24:$V24,1))</f>
        <v/>
      </c>
      <c r="M17" s="5" t="e">
        <f>IF(Propostas!T24="","",Parâmetros!J17*(1+(Propostas!T24-Parâmetros!$I17)/SUM(Propostas!$T24:$V24))*VLOOKUP(Dados!B24,Uso_final[],2,0))</f>
        <v>#VALUE!</v>
      </c>
      <c r="N17" s="5" t="str">
        <f>IF(Propostas!U24="","",Parâmetros!K17*(1+(Propostas!U24-Parâmetros!$I17)/SUM(Propostas!$T24:$V24))*VLOOKUP(Dados!C24,Uso_final[],2,0))</f>
        <v/>
      </c>
      <c r="O17" s="5" t="str">
        <f>IF(Propostas!V24="","",Parâmetros!L17*(1+(Propostas!V24-Parâmetros!$I17)/SUM(Propostas!$T24:$V24))*VLOOKUP(Dados!D24,Uso_final[],2,0))</f>
        <v/>
      </c>
      <c r="P17" s="5" t="str">
        <f t="shared" si="4"/>
        <v/>
      </c>
      <c r="Q17" s="5" t="str">
        <f>IF($C17="","",MIN(1,(Propostas!W24+Propostas!X24)/Propostas!B24))</f>
        <v/>
      </c>
      <c r="S17" s="30"/>
      <c r="T17" s="30"/>
    </row>
    <row r="18" spans="2:20" x14ac:dyDescent="0.35">
      <c r="B18" s="1" t="str">
        <f>IF(ISTEXT(Propostas!A25),Propostas!A25,"")</f>
        <v/>
      </c>
      <c r="C18" s="5" t="str">
        <f>IFERROR(Propostas!E25/Propostas!D25,"")</f>
        <v/>
      </c>
      <c r="D18" s="2" t="str">
        <f t="shared" si="0"/>
        <v/>
      </c>
      <c r="E18" s="5" t="str">
        <f>IF($C18="","",Propostas!F25/Propostas!C25)</f>
        <v/>
      </c>
      <c r="F18" s="5" t="str">
        <f>IF($C18="","",Propostas!G25/Parâmetros!$F$4)</f>
        <v/>
      </c>
      <c r="G18" s="5" t="str">
        <f>IF($C18="","",Propostas!H25/Parâmetros!$G$4)</f>
        <v/>
      </c>
      <c r="H18" s="5" t="str">
        <f>IF($C18="","",MIN(1,(Propostas!B25-Propostas!C25)/Propostas!B25))</f>
        <v/>
      </c>
      <c r="I18" s="13" t="str">
        <f>IF($C18="","",AVERAGE(Propostas!T25:V25))</f>
        <v/>
      </c>
      <c r="J18" s="33">
        <f>IF(Propostas!T25="","",_xlfn.RANK.EQ(Propostas!T25,Propostas!$T25:$V25,1))</f>
        <v>1</v>
      </c>
      <c r="K18" s="33" t="str">
        <f>IF(Propostas!U25="","",_xlfn.RANK.EQ(Propostas!U25,Propostas!$T25:$V25,1))</f>
        <v/>
      </c>
      <c r="L18" s="33" t="str">
        <f>IF(Propostas!V25="","",_xlfn.RANK.EQ(Propostas!V25,Propostas!$T25:$V25,1))</f>
        <v/>
      </c>
      <c r="M18" s="5" t="e">
        <f>IF(Propostas!T25="","",Parâmetros!J18*(1+(Propostas!T25-Parâmetros!$I18)/SUM(Propostas!$T25:$V25))*VLOOKUP(Dados!B25,Uso_final[],2,0))</f>
        <v>#VALUE!</v>
      </c>
      <c r="N18" s="5" t="str">
        <f>IF(Propostas!U25="","",Parâmetros!K18*(1+(Propostas!U25-Parâmetros!$I18)/SUM(Propostas!$T25:$V25))*VLOOKUP(Dados!C25,Uso_final[],2,0))</f>
        <v/>
      </c>
      <c r="O18" s="5" t="str">
        <f>IF(Propostas!V25="","",Parâmetros!L18*(1+(Propostas!V25-Parâmetros!$I18)/SUM(Propostas!$T25:$V25))*VLOOKUP(Dados!D25,Uso_final[],2,0))</f>
        <v/>
      </c>
      <c r="P18" s="5" t="str">
        <f t="shared" ref="P18:P25" si="5">IF(C18="","",SUM(M18:O18)-1)</f>
        <v/>
      </c>
      <c r="Q18" s="5" t="str">
        <f>IF($C18="","",MIN(1,(Propostas!W25+Propostas!X25)/Propostas!B25))</f>
        <v/>
      </c>
      <c r="T18" s="30"/>
    </row>
    <row r="19" spans="2:20" x14ac:dyDescent="0.35">
      <c r="B19" s="1" t="str">
        <f>IF(ISTEXT(Propostas!A26),Propostas!A26,"")</f>
        <v/>
      </c>
      <c r="C19" s="5" t="str">
        <f>IFERROR(Propostas!E26/Propostas!D26,"")</f>
        <v/>
      </c>
      <c r="D19" s="2" t="str">
        <f t="shared" si="0"/>
        <v/>
      </c>
      <c r="E19" s="5" t="str">
        <f>IF($C19="","",Propostas!F26/Propostas!C26)</f>
        <v/>
      </c>
      <c r="F19" s="5" t="str">
        <f>IF($C19="","",Propostas!G26/Parâmetros!$F$4)</f>
        <v/>
      </c>
      <c r="G19" s="5" t="str">
        <f>IF($C19="","",Propostas!H26/Parâmetros!$G$4)</f>
        <v/>
      </c>
      <c r="H19" s="5" t="str">
        <f>IF($C19="","",MIN(1,(Propostas!B26-Propostas!C26)/Propostas!B26))</f>
        <v/>
      </c>
      <c r="I19" s="13" t="str">
        <f>IF($C19="","",AVERAGE(Propostas!T26:V26))</f>
        <v/>
      </c>
      <c r="J19" s="33">
        <f>IF(Propostas!T26="","",_xlfn.RANK.EQ(Propostas!T26,Propostas!$T26:$V26,1))</f>
        <v>1</v>
      </c>
      <c r="K19" s="33" t="str">
        <f>IF(Propostas!U26="","",_xlfn.RANK.EQ(Propostas!U26,Propostas!$T26:$V26,1))</f>
        <v/>
      </c>
      <c r="L19" s="33" t="str">
        <f>IF(Propostas!V26="","",_xlfn.RANK.EQ(Propostas!V26,Propostas!$T26:$V26,1))</f>
        <v/>
      </c>
      <c r="M19" s="5" t="e">
        <f>IF(Propostas!T26="","",Parâmetros!J19*(1+(Propostas!T26-Parâmetros!$I19)/SUM(Propostas!$T26:$V26))*VLOOKUP(Dados!B26,Uso_final[],2,0))</f>
        <v>#VALUE!</v>
      </c>
      <c r="N19" s="5" t="str">
        <f>IF(Propostas!U26="","",Parâmetros!K19*(1+(Propostas!U26-Parâmetros!$I19)/SUM(Propostas!$T26:$V26))*VLOOKUP(Dados!C26,Uso_final[],2,0))</f>
        <v/>
      </c>
      <c r="O19" s="5" t="str">
        <f>IF(Propostas!V26="","",Parâmetros!L19*(1+(Propostas!V26-Parâmetros!$I19)/SUM(Propostas!$T26:$V26))*VLOOKUP(Dados!D26,Uso_final[],2,0))</f>
        <v/>
      </c>
      <c r="P19" s="5" t="str">
        <f t="shared" si="5"/>
        <v/>
      </c>
      <c r="Q19" s="5" t="str">
        <f>IF($C19="","",MIN(1,(Propostas!W26+Propostas!X26)/Propostas!B26))</f>
        <v/>
      </c>
      <c r="T19" s="30"/>
    </row>
    <row r="20" spans="2:20" x14ac:dyDescent="0.35">
      <c r="B20" s="1" t="str">
        <f>IF(ISTEXT(Propostas!A27),Propostas!A27,"")</f>
        <v/>
      </c>
      <c r="C20" s="5" t="str">
        <f>IFERROR(Propostas!E27/Propostas!D27,"")</f>
        <v/>
      </c>
      <c r="D20" s="2" t="str">
        <f t="shared" si="0"/>
        <v/>
      </c>
      <c r="E20" s="5" t="str">
        <f>IF($C20="","",Propostas!F27/Propostas!C27)</f>
        <v/>
      </c>
      <c r="F20" s="5" t="str">
        <f>IF($C20="","",Propostas!G27/Parâmetros!$F$4)</f>
        <v/>
      </c>
      <c r="G20" s="5" t="str">
        <f>IF($C20="","",Propostas!H27/Parâmetros!$G$4)</f>
        <v/>
      </c>
      <c r="H20" s="5" t="str">
        <f>IF($C20="","",MIN(1,(Propostas!B27-Propostas!C27)/Propostas!B27))</f>
        <v/>
      </c>
      <c r="I20" s="13" t="str">
        <f>IF($C20="","",AVERAGE(Propostas!T27:V27))</f>
        <v/>
      </c>
      <c r="J20" s="33">
        <f>IF(Propostas!T27="","",_xlfn.RANK.EQ(Propostas!T27,Propostas!$T27:$V27,1))</f>
        <v>1</v>
      </c>
      <c r="K20" s="33" t="str">
        <f>IF(Propostas!U27="","",_xlfn.RANK.EQ(Propostas!U27,Propostas!$T27:$V27,1))</f>
        <v/>
      </c>
      <c r="L20" s="33" t="str">
        <f>IF(Propostas!V27="","",_xlfn.RANK.EQ(Propostas!V27,Propostas!$T27:$V27,1))</f>
        <v/>
      </c>
      <c r="M20" s="5" t="e">
        <f>IF(Propostas!T27="","",Parâmetros!J20*(1+(Propostas!T27-Parâmetros!$I20)/SUM(Propostas!$T27:$V27))*VLOOKUP(Dados!B27,Uso_final[],2,0))</f>
        <v>#VALUE!</v>
      </c>
      <c r="N20" s="5" t="str">
        <f>IF(Propostas!U27="","",Parâmetros!K20*(1+(Propostas!U27-Parâmetros!$I20)/SUM(Propostas!$T27:$V27))*VLOOKUP(Dados!C27,Uso_final[],2,0))</f>
        <v/>
      </c>
      <c r="O20" s="5" t="str">
        <f>IF(Propostas!V27="","",Parâmetros!L20*(1+(Propostas!V27-Parâmetros!$I20)/SUM(Propostas!$T27:$V27))*VLOOKUP(Dados!D27,Uso_final[],2,0))</f>
        <v/>
      </c>
      <c r="P20" s="5" t="str">
        <f t="shared" si="5"/>
        <v/>
      </c>
      <c r="Q20" s="5" t="str">
        <f>IF($C20="","",MIN(1,(Propostas!W27+Propostas!X27)/Propostas!B27))</f>
        <v/>
      </c>
      <c r="T20" s="30"/>
    </row>
    <row r="21" spans="2:20" x14ac:dyDescent="0.35">
      <c r="B21" s="1" t="str">
        <f>IF(ISTEXT(Propostas!A28),Propostas!A28,"")</f>
        <v/>
      </c>
      <c r="C21" s="5" t="str">
        <f>IFERROR(Propostas!E28/Propostas!D28,"")</f>
        <v/>
      </c>
      <c r="D21" s="2" t="str">
        <f t="shared" si="0"/>
        <v/>
      </c>
      <c r="E21" s="5" t="str">
        <f>IF($C21="","",Propostas!F28/Propostas!C28)</f>
        <v/>
      </c>
      <c r="F21" s="5" t="str">
        <f>IF($C21="","",Propostas!G28/Parâmetros!$F$4)</f>
        <v/>
      </c>
      <c r="G21" s="5" t="str">
        <f>IF($C21="","",Propostas!H28/Parâmetros!$G$4)</f>
        <v/>
      </c>
      <c r="H21" s="5" t="str">
        <f>IF($C21="","",MIN(1,(Propostas!B28-Propostas!C28)/Propostas!B28))</f>
        <v/>
      </c>
      <c r="I21" s="13" t="str">
        <f>IF($C21="","",AVERAGE(Propostas!T28:V28))</f>
        <v/>
      </c>
      <c r="J21" s="33">
        <f>IF(Propostas!T28="","",_xlfn.RANK.EQ(Propostas!T28,Propostas!$T28:$V28,1))</f>
        <v>1</v>
      </c>
      <c r="K21" s="33" t="str">
        <f>IF(Propostas!U28="","",_xlfn.RANK.EQ(Propostas!U28,Propostas!$T28:$V28,1))</f>
        <v/>
      </c>
      <c r="L21" s="33" t="str">
        <f>IF(Propostas!V28="","",_xlfn.RANK.EQ(Propostas!V28,Propostas!$T28:$V28,1))</f>
        <v/>
      </c>
      <c r="M21" s="5" t="e">
        <f>IF(Propostas!T28="","",Parâmetros!J21*(1+(Propostas!T28-Parâmetros!$I21)/SUM(Propostas!$T28:$V28))*VLOOKUP(Dados!B28,Uso_final[],2,0))</f>
        <v>#VALUE!</v>
      </c>
      <c r="N21" s="5" t="str">
        <f>IF(Propostas!U28="","",Parâmetros!K21*(1+(Propostas!U28-Parâmetros!$I21)/SUM(Propostas!$T28:$V28))*VLOOKUP(Dados!C28,Uso_final[],2,0))</f>
        <v/>
      </c>
      <c r="O21" s="5" t="str">
        <f>IF(Propostas!V28="","",Parâmetros!L21*(1+(Propostas!V28-Parâmetros!$I21)/SUM(Propostas!$T28:$V28))*VLOOKUP(Dados!D28,Uso_final[],2,0))</f>
        <v/>
      </c>
      <c r="P21" s="5" t="str">
        <f t="shared" si="5"/>
        <v/>
      </c>
      <c r="Q21" s="5" t="str">
        <f>IF($C21="","",MIN(1,(Propostas!W28+Propostas!X28)/Propostas!B28))</f>
        <v/>
      </c>
      <c r="T21" s="30"/>
    </row>
    <row r="22" spans="2:20" x14ac:dyDescent="0.35">
      <c r="B22" s="1" t="str">
        <f>IF(ISTEXT(Propostas!A29),Propostas!A29,"")</f>
        <v/>
      </c>
      <c r="C22" s="5" t="str">
        <f>IFERROR(Propostas!E29/Propostas!D29,"")</f>
        <v/>
      </c>
      <c r="D22" s="2" t="str">
        <f t="shared" si="0"/>
        <v/>
      </c>
      <c r="E22" s="5" t="str">
        <f>IF($C22="","",Propostas!F29/Propostas!C29)</f>
        <v/>
      </c>
      <c r="F22" s="5" t="str">
        <f>IF($C22="","",Propostas!G29/Parâmetros!$F$4)</f>
        <v/>
      </c>
      <c r="G22" s="5" t="str">
        <f>IF($C22="","",Propostas!H29/Parâmetros!$G$4)</f>
        <v/>
      </c>
      <c r="H22" s="5" t="str">
        <f>IF($C22="","",MIN(1,(Propostas!B29-Propostas!C29)/Propostas!B29))</f>
        <v/>
      </c>
      <c r="I22" s="13" t="str">
        <f>IF($C22="","",AVERAGE(Propostas!T29:V29))</f>
        <v/>
      </c>
      <c r="J22" s="33">
        <f>IF(Propostas!T29="","",_xlfn.RANK.EQ(Propostas!T29,Propostas!$T29:$V29,1))</f>
        <v>1</v>
      </c>
      <c r="K22" s="33" t="str">
        <f>IF(Propostas!U29="","",_xlfn.RANK.EQ(Propostas!U29,Propostas!$T29:$V29,1))</f>
        <v/>
      </c>
      <c r="L22" s="33" t="str">
        <f>IF(Propostas!V29="","",_xlfn.RANK.EQ(Propostas!V29,Propostas!$T29:$V29,1))</f>
        <v/>
      </c>
      <c r="M22" s="5" t="e">
        <f>IF(Propostas!T29="","",Parâmetros!J22*(1+(Propostas!T29-Parâmetros!$I22)/SUM(Propostas!$T29:$V29))*VLOOKUP(Dados!B29,Uso_final[],2,0))</f>
        <v>#VALUE!</v>
      </c>
      <c r="N22" s="5" t="str">
        <f>IF(Propostas!U29="","",Parâmetros!K22*(1+(Propostas!U29-Parâmetros!$I22)/SUM(Propostas!$T29:$V29))*VLOOKUP(Dados!C29,Uso_final[],2,0))</f>
        <v/>
      </c>
      <c r="O22" s="5" t="str">
        <f>IF(Propostas!V29="","",Parâmetros!L22*(1+(Propostas!V29-Parâmetros!$I22)/SUM(Propostas!$T29:$V29))*VLOOKUP(Dados!D29,Uso_final[],2,0))</f>
        <v/>
      </c>
      <c r="P22" s="5" t="str">
        <f t="shared" si="5"/>
        <v/>
      </c>
      <c r="Q22" s="5" t="str">
        <f>IF($C22="","",MIN(1,(Propostas!W29+Propostas!X29)/Propostas!B29))</f>
        <v/>
      </c>
      <c r="T22" s="30"/>
    </row>
    <row r="23" spans="2:20" x14ac:dyDescent="0.35">
      <c r="B23" s="1" t="str">
        <f>IF(ISTEXT(Propostas!A30),Propostas!A30,"")</f>
        <v/>
      </c>
      <c r="C23" s="5" t="str">
        <f>IFERROR(Propostas!E30/Propostas!D30,"")</f>
        <v/>
      </c>
      <c r="D23" s="2" t="str">
        <f t="shared" si="0"/>
        <v/>
      </c>
      <c r="E23" s="5" t="str">
        <f>IF($C23="","",Propostas!F30/Propostas!C30)</f>
        <v/>
      </c>
      <c r="F23" s="5" t="str">
        <f>IF($C23="","",Propostas!G30/Parâmetros!$F$4)</f>
        <v/>
      </c>
      <c r="G23" s="5" t="str">
        <f>IF($C23="","",Propostas!H30/Parâmetros!$G$4)</f>
        <v/>
      </c>
      <c r="H23" s="5" t="str">
        <f>IF($C23="","",MIN(1,(Propostas!B30-Propostas!C30)/Propostas!B30))</f>
        <v/>
      </c>
      <c r="I23" s="13" t="str">
        <f>IF($C23="","",AVERAGE(Propostas!T30:V30))</f>
        <v/>
      </c>
      <c r="J23" s="33">
        <f>IF(Propostas!T30="","",_xlfn.RANK.EQ(Propostas!T30,Propostas!$T30:$V30,1))</f>
        <v>1</v>
      </c>
      <c r="K23" s="33" t="str">
        <f>IF(Propostas!U30="","",_xlfn.RANK.EQ(Propostas!U30,Propostas!$T30:$V30,1))</f>
        <v/>
      </c>
      <c r="L23" s="33" t="str">
        <f>IF(Propostas!V30="","",_xlfn.RANK.EQ(Propostas!V30,Propostas!$T30:$V30,1))</f>
        <v/>
      </c>
      <c r="M23" s="5" t="e">
        <f>IF(Propostas!T30="","",Parâmetros!J23*(1+(Propostas!T30-Parâmetros!$I23)/SUM(Propostas!$T30:$V30))*VLOOKUP(Dados!B30,Uso_final[],2,0))</f>
        <v>#VALUE!</v>
      </c>
      <c r="N23" s="5" t="str">
        <f>IF(Propostas!U30="","",Parâmetros!K23*(1+(Propostas!U30-Parâmetros!$I23)/SUM(Propostas!$T30:$V30))*VLOOKUP(Dados!C30,Uso_final[],2,0))</f>
        <v/>
      </c>
      <c r="O23" s="5" t="str">
        <f>IF(Propostas!V30="","",Parâmetros!L23*(1+(Propostas!V30-Parâmetros!$I23)/SUM(Propostas!$T30:$V30))*VLOOKUP(Dados!D30,Uso_final[],2,0))</f>
        <v/>
      </c>
      <c r="P23" s="5" t="str">
        <f t="shared" si="5"/>
        <v/>
      </c>
      <c r="Q23" s="5" t="str">
        <f>IF($C23="","",MIN(1,(Propostas!W30+Propostas!X30)/Propostas!B30))</f>
        <v/>
      </c>
      <c r="T23" s="30"/>
    </row>
    <row r="24" spans="2:20" x14ac:dyDescent="0.35">
      <c r="B24" s="1" t="str">
        <f>IF(ISTEXT(Propostas!A31),Propostas!A31,"")</f>
        <v/>
      </c>
      <c r="C24" s="5" t="str">
        <f>IFERROR(Propostas!E31/Propostas!D31,"")</f>
        <v/>
      </c>
      <c r="D24" s="2" t="str">
        <f t="shared" si="0"/>
        <v/>
      </c>
      <c r="E24" s="5" t="str">
        <f>IF($C24="","",Propostas!F31/Propostas!C31)</f>
        <v/>
      </c>
      <c r="F24" s="5" t="str">
        <f>IF($C24="","",Propostas!G31/Parâmetros!$F$4)</f>
        <v/>
      </c>
      <c r="G24" s="5" t="str">
        <f>IF($C24="","",Propostas!H31/Parâmetros!$G$4)</f>
        <v/>
      </c>
      <c r="H24" s="5" t="str">
        <f>IF($C24="","",MIN(1,(Propostas!B31-Propostas!C31)/Propostas!B31))</f>
        <v/>
      </c>
      <c r="I24" s="13" t="str">
        <f>IF($C24="","",AVERAGE(Propostas!T31:V31))</f>
        <v/>
      </c>
      <c r="J24" s="33">
        <f>IF(Propostas!T31="","",_xlfn.RANK.EQ(Propostas!T31,Propostas!$T31:$V31,1))</f>
        <v>1</v>
      </c>
      <c r="K24" s="33" t="str">
        <f>IF(Propostas!U31="","",_xlfn.RANK.EQ(Propostas!U31,Propostas!$T31:$V31,1))</f>
        <v/>
      </c>
      <c r="L24" s="33" t="str">
        <f>IF(Propostas!V31="","",_xlfn.RANK.EQ(Propostas!V31,Propostas!$T31:$V31,1))</f>
        <v/>
      </c>
      <c r="M24" s="5" t="e">
        <f>IF(Propostas!T31="","",Parâmetros!J24*(1+(Propostas!T31-Parâmetros!$I24)/SUM(Propostas!$T31:$V31))*VLOOKUP(Dados!B31,Uso_final[],2,0))</f>
        <v>#VALUE!</v>
      </c>
      <c r="N24" s="5" t="str">
        <f>IF(Propostas!U31="","",Parâmetros!K24*(1+(Propostas!U31-Parâmetros!$I24)/SUM(Propostas!$T31:$V31))*VLOOKUP(Dados!C31,Uso_final[],2,0))</f>
        <v/>
      </c>
      <c r="O24" s="5" t="str">
        <f>IF(Propostas!V31="","",Parâmetros!L24*(1+(Propostas!V31-Parâmetros!$I24)/SUM(Propostas!$T31:$V31))*VLOOKUP(Dados!D31,Uso_final[],2,0))</f>
        <v/>
      </c>
      <c r="P24" s="5" t="str">
        <f t="shared" si="5"/>
        <v/>
      </c>
      <c r="Q24" s="5" t="str">
        <f>IF($C24="","",MIN(1,(Propostas!W31+Propostas!X31)/Propostas!B31))</f>
        <v/>
      </c>
      <c r="S24" s="30"/>
      <c r="T24" s="30"/>
    </row>
    <row r="25" spans="2:20" x14ac:dyDescent="0.35">
      <c r="B25" s="1" t="str">
        <f>IF(ISTEXT(Propostas!A32),Propostas!A32,"")</f>
        <v/>
      </c>
      <c r="C25" s="5" t="str">
        <f>IFERROR(Propostas!E32/Propostas!D32,"")</f>
        <v/>
      </c>
      <c r="D25" s="2" t="str">
        <f t="shared" si="0"/>
        <v/>
      </c>
      <c r="E25" s="5" t="str">
        <f>IF($C25="","",Propostas!F32/Propostas!C32)</f>
        <v/>
      </c>
      <c r="F25" s="5" t="str">
        <f>IF($C25="","",Propostas!G32/Parâmetros!$F$4)</f>
        <v/>
      </c>
      <c r="G25" s="5" t="str">
        <f>IF($C25="","",Propostas!H32/Parâmetros!$G$4)</f>
        <v/>
      </c>
      <c r="H25" s="5" t="str">
        <f>IF($C25="","",MIN(1,(Propostas!B32-Propostas!C32)/Propostas!B32))</f>
        <v/>
      </c>
      <c r="I25" s="13" t="str">
        <f>IF($C25="","",AVERAGE(Propostas!T32:V32))</f>
        <v/>
      </c>
      <c r="J25" s="33">
        <f>IF(Propostas!T32="","",_xlfn.RANK.EQ(Propostas!T32,Propostas!$T32:$V32,1))</f>
        <v>1</v>
      </c>
      <c r="K25" s="33" t="str">
        <f>IF(Propostas!U32="","",_xlfn.RANK.EQ(Propostas!U32,Propostas!$T32:$V32,1))</f>
        <v/>
      </c>
      <c r="L25" s="33" t="str">
        <f>IF(Propostas!V32="","",_xlfn.RANK.EQ(Propostas!V32,Propostas!$T32:$V32,1))</f>
        <v/>
      </c>
      <c r="M25" s="5" t="e">
        <f>IF(Propostas!T32="","",Parâmetros!J25*(1+(Propostas!T32-Parâmetros!$I25)/SUM(Propostas!$T32:$V32))*VLOOKUP(Dados!B32,Uso_final[],2,0))</f>
        <v>#VALUE!</v>
      </c>
      <c r="N25" s="5" t="str">
        <f>IF(Propostas!U32="","",Parâmetros!K25*(1+(Propostas!U32-Parâmetros!$I25)/SUM(Propostas!$T32:$V32))*VLOOKUP(Dados!C32,Uso_final[],2,0))</f>
        <v/>
      </c>
      <c r="O25" s="5" t="str">
        <f>IF(Propostas!V32="","",Parâmetros!L25*(1+(Propostas!V32-Parâmetros!$I25)/SUM(Propostas!$T32:$V32))*VLOOKUP(Dados!D32,Uso_final[],2,0))</f>
        <v/>
      </c>
      <c r="P25" s="5" t="str">
        <f t="shared" si="5"/>
        <v/>
      </c>
      <c r="Q25" s="5" t="str">
        <f>IF($C25="","",MIN(1,(Propostas!W32+Propostas!X32)/Propostas!B32))</f>
        <v/>
      </c>
      <c r="T25" s="30"/>
    </row>
    <row r="26" spans="2:20" x14ac:dyDescent="0.35">
      <c r="B26" t="str">
        <f>IF(ISTEXT(Propostas!A33),Propostas!A33,"")</f>
        <v/>
      </c>
      <c r="C26" t="str">
        <f>IFERROR(Propostas!E33/Propostas!D33,"")</f>
        <v/>
      </c>
      <c r="D26" t="str">
        <f t="shared" ref="D26" si="6">IF($C26="","",RANK(C26,$C$5:$C$104,0))</f>
        <v/>
      </c>
      <c r="E26" t="str">
        <f>IF($C26="","",Propostas!F33/Propostas!C33)</f>
        <v/>
      </c>
      <c r="F26" t="str">
        <f>IF($C26="","",Propostas!G33/Parâmetros!$F$4)</f>
        <v/>
      </c>
      <c r="G26" t="str">
        <f>IF($C26="","",Propostas!H33/Parâmetros!$G$4)</f>
        <v/>
      </c>
      <c r="H26" t="str">
        <f>IF($C26="","",MIN(1,(Propostas!B33-Propostas!C33)/Propostas!B33))</f>
        <v/>
      </c>
      <c r="I26" s="23" t="str">
        <f>IF($C26="","",AVERAGE(Propostas!T33:V33))</f>
        <v/>
      </c>
      <c r="J26" s="23">
        <f>IF(Propostas!T33="","",_xlfn.RANK.EQ(Propostas!T33,Propostas!$T33:$V33,1))</f>
        <v>1</v>
      </c>
      <c r="K26" s="23">
        <f>IF(Propostas!U33="","",_xlfn.RANK.EQ(Propostas!U33,Propostas!$T33:$V33,1))</f>
        <v>2</v>
      </c>
      <c r="L26" s="23" t="str">
        <f>IF(Propostas!V33="","",_xlfn.RANK.EQ(Propostas!V33,Propostas!$T33:$V33,1))</f>
        <v/>
      </c>
      <c r="M26" t="e">
        <f>IF(Propostas!T33="","",Parâmetros!J26*(1+(Propostas!T33-Parâmetros!$I26)/SUM(Propostas!$T33:$V33))*VLOOKUP(Dados!B33,Uso_final[],2,0))</f>
        <v>#VALUE!</v>
      </c>
      <c r="N26" t="e">
        <f>IF(Propostas!U33="","",Parâmetros!K26*(1+(Propostas!U33-Parâmetros!$I26)/SUM(Propostas!$T33:$V33))*VLOOKUP(Dados!C33,Uso_final[],2,0))</f>
        <v>#VALUE!</v>
      </c>
      <c r="O26" t="str">
        <f>IF(Propostas!V33="","",Parâmetros!L26*(1+(Propostas!V33-Parâmetros!$I26)/SUM(Propostas!$T33:$V33))*VLOOKUP(Dados!D33,Uso_final[],2,0))</f>
        <v/>
      </c>
      <c r="P26" s="5" t="str">
        <f t="shared" ref="P26" si="7">IF(C26="","",SUM(M26:O26)-1)</f>
        <v/>
      </c>
      <c r="Q26" s="5" t="str">
        <f>IF($C26="","",MIN(1,(Propostas!W33+Propostas!X33)/Propostas!B33))</f>
        <v/>
      </c>
    </row>
  </sheetData>
  <mergeCells count="2">
    <mergeCell ref="I1:P1"/>
    <mergeCell ref="I2:P2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 Uso Interno CPFL&amp;1#_x000D_</oddHeader>
  </headerFooter>
  <ignoredErrors>
    <ignoredError sqref="I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/>
  <dimension ref="A1:Y26"/>
  <sheetViews>
    <sheetView workbookViewId="0">
      <selection activeCell="E27" sqref="E27"/>
    </sheetView>
  </sheetViews>
  <sheetFormatPr defaultColWidth="9.1796875" defaultRowHeight="14.5" x14ac:dyDescent="0.35"/>
  <cols>
    <col min="1" max="16384" width="9.1796875" style="2"/>
  </cols>
  <sheetData>
    <row r="1" spans="1:25" s="35" customFormat="1" ht="12" x14ac:dyDescent="0.35">
      <c r="C1" s="158" t="s">
        <v>1</v>
      </c>
      <c r="D1" s="158"/>
      <c r="E1" s="35" t="s">
        <v>2</v>
      </c>
      <c r="F1" s="158" t="s">
        <v>3</v>
      </c>
      <c r="G1" s="158"/>
      <c r="H1" s="158" t="s">
        <v>4</v>
      </c>
      <c r="I1" s="158"/>
      <c r="J1" s="158"/>
      <c r="K1" s="158"/>
      <c r="L1" s="158" t="s">
        <v>5</v>
      </c>
      <c r="M1" s="158"/>
      <c r="N1" s="158"/>
      <c r="O1" s="157" t="s">
        <v>6</v>
      </c>
      <c r="P1" s="157"/>
      <c r="Q1" s="157"/>
      <c r="R1" s="157"/>
      <c r="S1" s="35" t="s">
        <v>7</v>
      </c>
      <c r="T1" s="35" t="s">
        <v>35</v>
      </c>
      <c r="U1" s="35" t="s">
        <v>36</v>
      </c>
      <c r="V1" s="36"/>
      <c r="W1" s="37"/>
    </row>
    <row r="2" spans="1:25" x14ac:dyDescent="0.35">
      <c r="B2" s="1"/>
      <c r="C2" s="2" t="s">
        <v>27</v>
      </c>
      <c r="D2" s="2" t="s">
        <v>28</v>
      </c>
      <c r="E2" s="2" t="s">
        <v>2</v>
      </c>
      <c r="F2" s="2" t="s">
        <v>92</v>
      </c>
      <c r="G2" s="2" t="s">
        <v>96</v>
      </c>
      <c r="H2" s="2" t="s">
        <v>86</v>
      </c>
      <c r="I2" s="2" t="s">
        <v>87</v>
      </c>
      <c r="J2" s="2" t="s">
        <v>88</v>
      </c>
      <c r="K2" s="2" t="s">
        <v>89</v>
      </c>
      <c r="L2" s="2" t="s">
        <v>29</v>
      </c>
      <c r="M2" s="2" t="s">
        <v>30</v>
      </c>
      <c r="N2" s="2" t="s">
        <v>31</v>
      </c>
      <c r="O2" s="2" t="s">
        <v>32</v>
      </c>
      <c r="P2" s="2" t="s">
        <v>33</v>
      </c>
      <c r="Q2" s="2" t="s">
        <v>34</v>
      </c>
      <c r="R2" s="2" t="s">
        <v>90</v>
      </c>
      <c r="S2" s="2" t="s">
        <v>7</v>
      </c>
      <c r="T2" s="2" t="s">
        <v>35</v>
      </c>
      <c r="U2" s="2" t="s">
        <v>36</v>
      </c>
    </row>
    <row r="3" spans="1:25" s="8" customFormat="1" ht="91" x14ac:dyDescent="0.35">
      <c r="A3" s="8" t="s">
        <v>52</v>
      </c>
      <c r="B3" s="9" t="s">
        <v>0</v>
      </c>
      <c r="C3" s="8" t="s">
        <v>38</v>
      </c>
      <c r="D3" s="8" t="s">
        <v>39</v>
      </c>
      <c r="E3" s="8" t="s">
        <v>40</v>
      </c>
      <c r="F3" s="8" t="s">
        <v>93</v>
      </c>
      <c r="G3" s="8" t="s">
        <v>94</v>
      </c>
      <c r="H3" s="8" t="s">
        <v>41</v>
      </c>
      <c r="I3" s="8" t="s">
        <v>9</v>
      </c>
      <c r="J3" s="8" t="s">
        <v>42</v>
      </c>
      <c r="K3" s="8" t="s">
        <v>51</v>
      </c>
      <c r="L3" s="8" t="s">
        <v>44</v>
      </c>
      <c r="M3" s="8" t="s">
        <v>45</v>
      </c>
      <c r="N3" s="8" t="s">
        <v>46</v>
      </c>
      <c r="O3" s="8" t="s">
        <v>80</v>
      </c>
      <c r="P3" s="8" t="s">
        <v>81</v>
      </c>
      <c r="Q3" s="8" t="s">
        <v>82</v>
      </c>
      <c r="R3" s="8" t="s">
        <v>83</v>
      </c>
      <c r="S3" s="8" t="s">
        <v>48</v>
      </c>
      <c r="T3" s="8" t="s">
        <v>97</v>
      </c>
      <c r="U3" s="8" t="s">
        <v>58</v>
      </c>
      <c r="V3" s="8" t="s">
        <v>50</v>
      </c>
      <c r="W3" s="8" t="s">
        <v>52</v>
      </c>
    </row>
    <row r="4" spans="1:25" x14ac:dyDescent="0.35">
      <c r="B4" s="1" t="s">
        <v>49</v>
      </c>
      <c r="C4" s="6">
        <f>VLOOKUP(C2,'Critérios'!$C$11:$H$34,6,0)</f>
        <v>30</v>
      </c>
      <c r="D4" s="6">
        <f>VLOOKUP(D2,'Critérios'!$C$11:$H$34,6,0)</f>
        <v>10</v>
      </c>
      <c r="E4" s="6">
        <f>VLOOKUP(E2,'Critérios'!$B$11:$G$34,6,0)</f>
        <v>5</v>
      </c>
      <c r="F4" s="6">
        <f>VLOOKUP(F2,'Critérios'!$C$11:$H$34,6,0)</f>
        <v>6</v>
      </c>
      <c r="G4" s="6">
        <f>VLOOKUP(G2,'Critérios'!$C$11:$H$34,6,0)</f>
        <v>4</v>
      </c>
      <c r="H4" s="6">
        <f>VLOOKUP(H2,'Critérios'!$C$11:$H$34,6,0)</f>
        <v>1.6</v>
      </c>
      <c r="I4" s="6">
        <f>VLOOKUP(I2,'Critérios'!$C$11:$H$34,6,0)</f>
        <v>1.6</v>
      </c>
      <c r="J4" s="6">
        <f>VLOOKUP(J2,'Critérios'!$C$11:$H$34,6,0)</f>
        <v>1.6</v>
      </c>
      <c r="K4" s="6">
        <f>VLOOKUP(K2,'Critérios'!$C$11:$H$34,6,0)</f>
        <v>3.2</v>
      </c>
      <c r="L4" s="6">
        <f>VLOOKUP(L2,'Critérios'!$C$11:$H$34,6,0)</f>
        <v>0.5</v>
      </c>
      <c r="M4" s="6">
        <f>VLOOKUP(M2,'Critérios'!$C$11:$H$34,6,0)</f>
        <v>0.5</v>
      </c>
      <c r="N4" s="6">
        <f>VLOOKUP(N2,'Critérios'!$C$11:$H$34,6,0)</f>
        <v>1</v>
      </c>
      <c r="O4" s="6">
        <f>VLOOKUP(O2,'Critérios'!$C$11:$H$34,6,0)</f>
        <v>3</v>
      </c>
      <c r="P4" s="6">
        <f>VLOOKUP(P2,'Critérios'!$C$11:$H$34,6,0)</f>
        <v>3</v>
      </c>
      <c r="Q4" s="6">
        <f>VLOOKUP(Q2,'Critérios'!$C$11:$H$34,6,0)</f>
        <v>2</v>
      </c>
      <c r="R4" s="6">
        <f>VLOOKUP(R2,'Critérios'!$C$11:$H$34,6,0)</f>
        <v>2</v>
      </c>
      <c r="S4" s="6">
        <f>VLOOKUP(S2,'Critérios'!$B$11:$G$34,6,0)</f>
        <v>15</v>
      </c>
      <c r="T4" s="6">
        <f>VLOOKUP(T2,'Critérios'!$B$11:$G$34,6,0)</f>
        <v>5</v>
      </c>
      <c r="U4" s="6">
        <f>VLOOKUP(U2,'Critérios'!$B$11:$G$34,6,0)</f>
        <v>5</v>
      </c>
      <c r="V4" s="6">
        <f>SUM(C4:U4)</f>
        <v>100</v>
      </c>
      <c r="W4" s="6"/>
    </row>
    <row r="5" spans="1:25" x14ac:dyDescent="0.35">
      <c r="A5" s="11" t="str">
        <f>IF(Propostas!$C12="","",W5)</f>
        <v/>
      </c>
      <c r="B5" s="1">
        <f>Propostas!A12</f>
        <v>0</v>
      </c>
      <c r="C5" s="7" t="str">
        <f>IF(Propostas!$C12="","",C$4*Parâmetros!$C$4/Parâmetros!C5)</f>
        <v/>
      </c>
      <c r="D5" s="7" t="str">
        <f>IF(Propostas!$C12="","",D$4*(Parâmetros!D5-1)/(COUNT(Parâmetros!$C$5:$C$108)-1))</f>
        <v/>
      </c>
      <c r="E5" s="7" t="str">
        <f>IF(Propostas!$C12="","",E$4*Parâmetros!E5/Parâmetros!$E$4)</f>
        <v/>
      </c>
      <c r="F5" s="7" t="str">
        <f>IF(Propostas!$C12="","",F$4*Parâmetros!F5)</f>
        <v/>
      </c>
      <c r="G5" s="7" t="str">
        <f>IF(Propostas!$C12="","",G$4*Parâmetros!G5)</f>
        <v/>
      </c>
      <c r="H5" s="7" t="str">
        <f>IF(Propostas!$C12="","",$H$4*Propostas!I12)</f>
        <v/>
      </c>
      <c r="I5" s="7" t="str">
        <f>IF(Propostas!$C12="","",$I$4*Propostas!J12)</f>
        <v/>
      </c>
      <c r="J5" s="7" t="str">
        <f>IF(Propostas!$C12="","",$J$4*Propostas!K12)</f>
        <v/>
      </c>
      <c r="K5" s="7" t="str">
        <f>IF(Propostas!$C12="","",$K$4*Propostas!L12)</f>
        <v/>
      </c>
      <c r="L5" s="7" t="str">
        <f>IF(Propostas!$C12="","",$L$4*Propostas!M12)</f>
        <v/>
      </c>
      <c r="M5" s="7" t="str">
        <f>IF(Propostas!$C12="","",$M$4*Propostas!N12)</f>
        <v/>
      </c>
      <c r="N5" s="7" t="str">
        <f>IF(Propostas!$C12="","",$N$4*Propostas!O12)</f>
        <v/>
      </c>
      <c r="O5" s="7" t="str">
        <f>IF(Propostas!$C12="","",$O$4*Propostas!P12)</f>
        <v/>
      </c>
      <c r="P5" s="7" t="str">
        <f>IF(Propostas!$C12="","",$P$4*Propostas!Q12)</f>
        <v/>
      </c>
      <c r="Q5" s="7" t="str">
        <f>IF(Propostas!$C12="","",$Q$4*Propostas!R12)</f>
        <v/>
      </c>
      <c r="R5" s="7" t="str">
        <f>IF(Propostas!$C12="","",$R$4*Propostas!S12)</f>
        <v/>
      </c>
      <c r="S5" s="7" t="str">
        <f>IF(Propostas!$C12="","",S$4*Parâmetros!$H5/Parâmetros!$H$4)</f>
        <v/>
      </c>
      <c r="T5" s="7" t="str">
        <f>IF(Propostas!$C12="","",T$4*Parâmetros!P5/Parâmetros!$P$4)</f>
        <v/>
      </c>
      <c r="U5" s="7" t="str">
        <f>IF(Propostas!$C12="","",U$4*Parâmetros!Q5/Parâmetros!$Q$4)</f>
        <v/>
      </c>
      <c r="V5" s="7" t="str">
        <f>IF(Propostas!$B12="","",SUM(C5:U5))</f>
        <v/>
      </c>
      <c r="W5" s="11" t="str">
        <f>IF(Propostas!$C12="","",RANK(V5,$V$5:$V$88,0))</f>
        <v/>
      </c>
      <c r="X5" s="7"/>
      <c r="Y5" s="7"/>
    </row>
    <row r="6" spans="1:25" x14ac:dyDescent="0.35">
      <c r="A6" s="11" t="str">
        <f>IF(Propostas!$C13="","",W6)</f>
        <v/>
      </c>
      <c r="B6" s="1">
        <f>Propostas!A13</f>
        <v>0</v>
      </c>
      <c r="C6" s="7" t="str">
        <f>IF(Propostas!$C13="","",C$4*Parâmetros!$C$4/Parâmetros!C6)</f>
        <v/>
      </c>
      <c r="D6" s="7" t="str">
        <f>IF(Propostas!$C13="","",D$4*(Parâmetros!D6-1)/(COUNT(Parâmetros!$C$5:$C$108)-1))</f>
        <v/>
      </c>
      <c r="E6" s="7" t="str">
        <f>IF(Propostas!$C13="","",E$4*Parâmetros!E6/Parâmetros!$E$4)</f>
        <v/>
      </c>
      <c r="F6" s="7" t="str">
        <f>IF(Propostas!$C13="","",F$4*Parâmetros!F6)</f>
        <v/>
      </c>
      <c r="G6" s="7" t="str">
        <f>IF(Propostas!$C13="","",G$4*Parâmetros!G6)</f>
        <v/>
      </c>
      <c r="H6" s="7" t="str">
        <f>IF(Propostas!$C13="","",$H$4*Propostas!I13)</f>
        <v/>
      </c>
      <c r="I6" s="7" t="str">
        <f>IF(Propostas!$C13="","",$I$4*Propostas!J13)</f>
        <v/>
      </c>
      <c r="J6" s="7" t="str">
        <f>IF(Propostas!$C13="","",$J$4*Propostas!K13)</f>
        <v/>
      </c>
      <c r="K6" s="7" t="str">
        <f>IF(Propostas!$C13="","",$K$4*Propostas!L13)</f>
        <v/>
      </c>
      <c r="L6" s="7" t="str">
        <f>IF(Propostas!$C13="","",$L$4*Propostas!M13)</f>
        <v/>
      </c>
      <c r="M6" s="7" t="str">
        <f>IF(Propostas!$C13="","",$M$4*Propostas!N13)</f>
        <v/>
      </c>
      <c r="N6" s="7" t="str">
        <f>IF(Propostas!$C13="","",$N$4*Propostas!O13)</f>
        <v/>
      </c>
      <c r="O6" s="7" t="str">
        <f>IF(Propostas!$C13="","",$O$4*Propostas!P13)</f>
        <v/>
      </c>
      <c r="P6" s="7" t="str">
        <f>IF(Propostas!$C13="","",$P$4*Propostas!Q13)</f>
        <v/>
      </c>
      <c r="Q6" s="7" t="str">
        <f>IF(Propostas!$C13="","",$Q$4*Propostas!R13)</f>
        <v/>
      </c>
      <c r="R6" s="7" t="str">
        <f>IF(Propostas!$C13="","",$R$4*Propostas!S13)</f>
        <v/>
      </c>
      <c r="S6" s="7" t="str">
        <f>IF(Propostas!$C13="","",S$4*Parâmetros!$H6/Parâmetros!$H$4)</f>
        <v/>
      </c>
      <c r="T6" s="7" t="str">
        <f>IF(Propostas!$C13="","",T$4*Parâmetros!P6/Parâmetros!$P$4)</f>
        <v/>
      </c>
      <c r="U6" s="7" t="str">
        <f>IF(Propostas!$C13="","",U$4*Parâmetros!Q6/Parâmetros!$Q$4)</f>
        <v/>
      </c>
      <c r="V6" s="7" t="str">
        <f>IF(Propostas!$B13="","",SUM(C6:U6))</f>
        <v/>
      </c>
      <c r="W6" s="11" t="str">
        <f>IF(Propostas!$C13="","",RANK(V6,$V$5:$V$88,0))</f>
        <v/>
      </c>
      <c r="X6" s="7"/>
      <c r="Y6" s="7"/>
    </row>
    <row r="7" spans="1:25" x14ac:dyDescent="0.35">
      <c r="A7" s="11" t="str">
        <f>IF(Propostas!$C14="","",W7)</f>
        <v/>
      </c>
      <c r="B7" s="1">
        <f>Propostas!A14</f>
        <v>0</v>
      </c>
      <c r="C7" s="7" t="str">
        <f>IF(Propostas!$C14="","",C$4*Parâmetros!$C$4/Parâmetros!C7)</f>
        <v/>
      </c>
      <c r="D7" s="7" t="str">
        <f>IF(Propostas!$C14="","",D$4*(Parâmetros!D7-1)/(COUNT(Parâmetros!$C$5:$C$108)-1))</f>
        <v/>
      </c>
      <c r="E7" s="7" t="str">
        <f>IF(Propostas!$C14="","",E$4*Parâmetros!E7/Parâmetros!$E$4)</f>
        <v/>
      </c>
      <c r="F7" s="7" t="str">
        <f>IF(Propostas!$C14="","",F$4*Parâmetros!F7)</f>
        <v/>
      </c>
      <c r="G7" s="7" t="str">
        <f>IF(Propostas!$C14="","",G$4*Parâmetros!G7)</f>
        <v/>
      </c>
      <c r="H7" s="7" t="str">
        <f>IF(Propostas!$C14="","",$H$4*Propostas!I14)</f>
        <v/>
      </c>
      <c r="I7" s="7" t="str">
        <f>IF(Propostas!$C14="","",$I$4*Propostas!J14)</f>
        <v/>
      </c>
      <c r="J7" s="7" t="str">
        <f>IF(Propostas!$C14="","",$J$4*Propostas!K14)</f>
        <v/>
      </c>
      <c r="K7" s="7" t="str">
        <f>IF(Propostas!$C14="","",$K$4*Propostas!L14)</f>
        <v/>
      </c>
      <c r="L7" s="7" t="str">
        <f>IF(Propostas!$C14="","",$L$4*Propostas!M14)</f>
        <v/>
      </c>
      <c r="M7" s="7" t="str">
        <f>IF(Propostas!$C14="","",$M$4*Propostas!N14)</f>
        <v/>
      </c>
      <c r="N7" s="7" t="str">
        <f>IF(Propostas!$C14="","",$N$4*Propostas!O14)</f>
        <v/>
      </c>
      <c r="O7" s="7" t="str">
        <f>IF(Propostas!$C14="","",$O$4*Propostas!P14)</f>
        <v/>
      </c>
      <c r="P7" s="7" t="str">
        <f>IF(Propostas!$C14="","",$P$4*Propostas!Q14)</f>
        <v/>
      </c>
      <c r="Q7" s="7" t="str">
        <f>IF(Propostas!$C14="","",$Q$4*Propostas!R14)</f>
        <v/>
      </c>
      <c r="R7" s="7" t="str">
        <f>IF(Propostas!$C14="","",$R$4*Propostas!S14)</f>
        <v/>
      </c>
      <c r="S7" s="7" t="str">
        <f>IF(Propostas!$C14="","",S$4*Parâmetros!$H7/Parâmetros!$H$4)</f>
        <v/>
      </c>
      <c r="T7" s="7" t="str">
        <f>IF(Propostas!$C14="","",T$4*Parâmetros!P7/Parâmetros!$P$4)</f>
        <v/>
      </c>
      <c r="U7" s="7" t="str">
        <f>IF(Propostas!$C14="","",U$4*Parâmetros!Q7/Parâmetros!$Q$4)</f>
        <v/>
      </c>
      <c r="V7" s="7" t="str">
        <f>IF(Propostas!$B14="","",SUM(C7:U7))</f>
        <v/>
      </c>
      <c r="W7" s="11" t="str">
        <f>IF(Propostas!$C14="","",RANK(V7,$V$5:$V$88,0))</f>
        <v/>
      </c>
      <c r="X7" s="7"/>
      <c r="Y7" s="7"/>
    </row>
    <row r="8" spans="1:25" x14ac:dyDescent="0.35">
      <c r="A8" s="11" t="str">
        <f>IF(Propostas!$C15="","",W8)</f>
        <v/>
      </c>
      <c r="B8" s="1">
        <f>Propostas!A15</f>
        <v>0</v>
      </c>
      <c r="C8" s="7" t="str">
        <f>IF(Propostas!$C15="","",C$4*Parâmetros!$C$4/Parâmetros!C8)</f>
        <v/>
      </c>
      <c r="D8" s="7" t="str">
        <f>IF(Propostas!$C15="","",D$4*(Parâmetros!D8-1)/(COUNT(Parâmetros!$C$5:$C$108)-1))</f>
        <v/>
      </c>
      <c r="E8" s="7" t="str">
        <f>IF(Propostas!$C15="","",E$4*Parâmetros!E8/Parâmetros!$E$4)</f>
        <v/>
      </c>
      <c r="F8" s="7" t="str">
        <f>IF(Propostas!$C15="","",F$4*Parâmetros!F8)</f>
        <v/>
      </c>
      <c r="G8" s="7" t="str">
        <f>IF(Propostas!$C15="","",G$4*Parâmetros!G8)</f>
        <v/>
      </c>
      <c r="H8" s="7" t="str">
        <f>IF(Propostas!$C15="","",$H$4*Propostas!I15)</f>
        <v/>
      </c>
      <c r="I8" s="7" t="str">
        <f>IF(Propostas!$C15="","",$I$4*Propostas!J15)</f>
        <v/>
      </c>
      <c r="J8" s="7" t="str">
        <f>IF(Propostas!$C15="","",$J$4*Propostas!K15)</f>
        <v/>
      </c>
      <c r="K8" s="7" t="str">
        <f>IF(Propostas!$C15="","",$K$4*Propostas!L15)</f>
        <v/>
      </c>
      <c r="L8" s="7" t="str">
        <f>IF(Propostas!$C15="","",$L$4*Propostas!M15)</f>
        <v/>
      </c>
      <c r="M8" s="7" t="str">
        <f>IF(Propostas!$C15="","",$M$4*Propostas!N15)</f>
        <v/>
      </c>
      <c r="N8" s="7" t="str">
        <f>IF(Propostas!$C15="","",$N$4*Propostas!O15)</f>
        <v/>
      </c>
      <c r="O8" s="7" t="str">
        <f>IF(Propostas!$C15="","",$O$4*Propostas!P15)</f>
        <v/>
      </c>
      <c r="P8" s="7" t="str">
        <f>IF(Propostas!$C15="","",$P$4*Propostas!Q15)</f>
        <v/>
      </c>
      <c r="Q8" s="7" t="str">
        <f>IF(Propostas!$C15="","",$Q$4*Propostas!R15)</f>
        <v/>
      </c>
      <c r="R8" s="7" t="str">
        <f>IF(Propostas!$C15="","",$R$4*Propostas!S15)</f>
        <v/>
      </c>
      <c r="S8" s="7" t="str">
        <f>IF(Propostas!$C15="","",S$4*Parâmetros!$H8/Parâmetros!$H$4)</f>
        <v/>
      </c>
      <c r="T8" s="7" t="str">
        <f>IF(Propostas!$C15="","",T$4*Parâmetros!P8/Parâmetros!$P$4)</f>
        <v/>
      </c>
      <c r="U8" s="7" t="str">
        <f>IF(Propostas!$C15="","",U$4*Parâmetros!Q8/Parâmetros!$Q$4)</f>
        <v/>
      </c>
      <c r="V8" s="7" t="str">
        <f>IF(Propostas!$B15="","",SUM(C8:U8))</f>
        <v/>
      </c>
      <c r="W8" s="11" t="str">
        <f>IF(Propostas!$C15="","",RANK(V8,$V$5:$V$88,0))</f>
        <v/>
      </c>
      <c r="X8" s="7"/>
      <c r="Y8" s="7"/>
    </row>
    <row r="9" spans="1:25" x14ac:dyDescent="0.35">
      <c r="A9" s="11" t="str">
        <f>IF(Propostas!$C16="","",W9)</f>
        <v/>
      </c>
      <c r="B9" s="1">
        <f>Propostas!A16</f>
        <v>0</v>
      </c>
      <c r="C9" s="7" t="str">
        <f>IF(Propostas!$C16="","",C$4*Parâmetros!$C$4/Parâmetros!C9)</f>
        <v/>
      </c>
      <c r="D9" s="7" t="str">
        <f>IF(Propostas!$C16="","",D$4*(Parâmetros!D9-1)/(COUNT(Parâmetros!$C$5:$C$108)-1))</f>
        <v/>
      </c>
      <c r="E9" s="7" t="str">
        <f>IF(Propostas!$C16="","",E$4*Parâmetros!E9/Parâmetros!$E$4)</f>
        <v/>
      </c>
      <c r="F9" s="7" t="str">
        <f>IF(Propostas!$C16="","",F$4*Parâmetros!F9)</f>
        <v/>
      </c>
      <c r="G9" s="7" t="str">
        <f>IF(Propostas!$C16="","",G$4*Parâmetros!G9)</f>
        <v/>
      </c>
      <c r="H9" s="7" t="str">
        <f>IF(Propostas!$C16="","",$H$4*Propostas!I16)</f>
        <v/>
      </c>
      <c r="I9" s="7" t="str">
        <f>IF(Propostas!$C16="","",$I$4*Propostas!J16)</f>
        <v/>
      </c>
      <c r="J9" s="7" t="str">
        <f>IF(Propostas!$C16="","",$J$4*Propostas!K16)</f>
        <v/>
      </c>
      <c r="K9" s="7" t="str">
        <f>IF(Propostas!$C16="","",$K$4*Propostas!L16)</f>
        <v/>
      </c>
      <c r="L9" s="7" t="str">
        <f>IF(Propostas!$C16="","",$L$4*Propostas!M16)</f>
        <v/>
      </c>
      <c r="M9" s="7" t="str">
        <f>IF(Propostas!$C16="","",$M$4*Propostas!N16)</f>
        <v/>
      </c>
      <c r="N9" s="7" t="str">
        <f>IF(Propostas!$C16="","",$N$4*Propostas!O16)</f>
        <v/>
      </c>
      <c r="O9" s="7" t="str">
        <f>IF(Propostas!$C16="","",$O$4*Propostas!P16)</f>
        <v/>
      </c>
      <c r="P9" s="7" t="str">
        <f>IF(Propostas!$C16="","",$P$4*Propostas!Q16)</f>
        <v/>
      </c>
      <c r="Q9" s="7" t="str">
        <f>IF(Propostas!$C16="","",$Q$4*Propostas!R16)</f>
        <v/>
      </c>
      <c r="R9" s="7" t="str">
        <f>IF(Propostas!$C16="","",$R$4*Propostas!S16)</f>
        <v/>
      </c>
      <c r="S9" s="7" t="str">
        <f>IF(Propostas!$C16="","",S$4*Parâmetros!$H9/Parâmetros!$H$4)</f>
        <v/>
      </c>
      <c r="T9" s="7" t="str">
        <f>IF(Propostas!$C16="","",T$4*Parâmetros!P9/Parâmetros!$P$4)</f>
        <v/>
      </c>
      <c r="U9" s="7" t="str">
        <f>IF(Propostas!$C16="","",U$4*Parâmetros!Q9/Parâmetros!$Q$4)</f>
        <v/>
      </c>
      <c r="V9" s="7" t="str">
        <f>IF(Propostas!$B16="","",SUM(C9:U9))</f>
        <v/>
      </c>
      <c r="W9" s="11" t="str">
        <f>IF(Propostas!$C16="","",RANK(V9,$V$5:$V$88,0))</f>
        <v/>
      </c>
      <c r="X9" s="7"/>
      <c r="Y9" s="7"/>
    </row>
    <row r="10" spans="1:25" x14ac:dyDescent="0.35">
      <c r="A10" s="11" t="str">
        <f>IF(Propostas!$C17="","",W10)</f>
        <v/>
      </c>
      <c r="B10" s="1">
        <f>Propostas!A17</f>
        <v>0</v>
      </c>
      <c r="C10" s="7" t="str">
        <f>IF(Propostas!$C17="","",C$4*Parâmetros!$C$4/Parâmetros!C10)</f>
        <v/>
      </c>
      <c r="D10" s="7" t="str">
        <f>IF(Propostas!$C17="","",D$4*(Parâmetros!D10-1)/(COUNT(Parâmetros!$C$5:$C$108)-1))</f>
        <v/>
      </c>
      <c r="E10" s="7" t="str">
        <f>IF(Propostas!$C17="","",E$4*Parâmetros!E10/Parâmetros!$E$4)</f>
        <v/>
      </c>
      <c r="F10" s="7" t="str">
        <f>IF(Propostas!$C17="","",F$4*Parâmetros!F10)</f>
        <v/>
      </c>
      <c r="G10" s="7" t="str">
        <f>IF(Propostas!$C17="","",G$4*Parâmetros!G10)</f>
        <v/>
      </c>
      <c r="H10" s="7" t="str">
        <f>IF(Propostas!$C17="","",$H$4*Propostas!I17)</f>
        <v/>
      </c>
      <c r="I10" s="7" t="str">
        <f>IF(Propostas!$C17="","",$I$4*Propostas!J17)</f>
        <v/>
      </c>
      <c r="J10" s="7" t="str">
        <f>IF(Propostas!$C17="","",$J$4*Propostas!K17)</f>
        <v/>
      </c>
      <c r="K10" s="7" t="str">
        <f>IF(Propostas!$C17="","",$K$4*Propostas!L17)</f>
        <v/>
      </c>
      <c r="L10" s="7" t="str">
        <f>IF(Propostas!$C17="","",$L$4*Propostas!M17)</f>
        <v/>
      </c>
      <c r="M10" s="7" t="str">
        <f>IF(Propostas!$C17="","",$M$4*Propostas!N17)</f>
        <v/>
      </c>
      <c r="N10" s="7" t="str">
        <f>IF(Propostas!$C17="","",$N$4*Propostas!O17)</f>
        <v/>
      </c>
      <c r="O10" s="7" t="str">
        <f>IF(Propostas!$C17="","",$O$4*Propostas!P17)</f>
        <v/>
      </c>
      <c r="P10" s="7" t="str">
        <f>IF(Propostas!$C17="","",$P$4*Propostas!Q17)</f>
        <v/>
      </c>
      <c r="Q10" s="7" t="str">
        <f>IF(Propostas!$C17="","",$Q$4*Propostas!R17)</f>
        <v/>
      </c>
      <c r="R10" s="7" t="str">
        <f>IF(Propostas!$C17="","",$R$4*Propostas!S17)</f>
        <v/>
      </c>
      <c r="S10" s="7" t="str">
        <f>IF(Propostas!$C17="","",S$4*Parâmetros!$H10/Parâmetros!$H$4)</f>
        <v/>
      </c>
      <c r="T10" s="7" t="str">
        <f>IF(Propostas!$C17="","",T$4*Parâmetros!P10/Parâmetros!$P$4)</f>
        <v/>
      </c>
      <c r="U10" s="7" t="str">
        <f>IF(Propostas!$C17="","",U$4*Parâmetros!Q10/Parâmetros!$Q$4)</f>
        <v/>
      </c>
      <c r="V10" s="7" t="str">
        <f>IF(Propostas!$B17="","",SUM(C10:U10))</f>
        <v/>
      </c>
      <c r="W10" s="11" t="str">
        <f>IF(Propostas!$C17="","",RANK(V10,$V$5:$V$88,0))</f>
        <v/>
      </c>
      <c r="X10" s="7"/>
      <c r="Y10" s="7"/>
    </row>
    <row r="11" spans="1:25" x14ac:dyDescent="0.35">
      <c r="A11" s="11" t="str">
        <f>IF(Propostas!$C18="","",W11)</f>
        <v/>
      </c>
      <c r="B11" s="1">
        <f>Propostas!A18</f>
        <v>0</v>
      </c>
      <c r="C11" s="7" t="str">
        <f>IF(Propostas!$C18="","",C$4*Parâmetros!$C$4/Parâmetros!C11)</f>
        <v/>
      </c>
      <c r="D11" s="7" t="str">
        <f>IF(Propostas!$C18="","",D$4*(Parâmetros!D11-1)/(COUNT(Parâmetros!$C$5:$C$108)-1))</f>
        <v/>
      </c>
      <c r="E11" s="7" t="str">
        <f>IF(Propostas!$C18="","",E$4*Parâmetros!E11/Parâmetros!$E$4)</f>
        <v/>
      </c>
      <c r="F11" s="7" t="str">
        <f>IF(Propostas!$C18="","",F$4*Parâmetros!F11)</f>
        <v/>
      </c>
      <c r="G11" s="7" t="str">
        <f>IF(Propostas!$C18="","",G$4*Parâmetros!G11)</f>
        <v/>
      </c>
      <c r="H11" s="7" t="str">
        <f>IF(Propostas!$C18="","",$H$4*Propostas!I18)</f>
        <v/>
      </c>
      <c r="I11" s="7" t="str">
        <f>IF(Propostas!$C18="","",$I$4*Propostas!J18)</f>
        <v/>
      </c>
      <c r="J11" s="7" t="str">
        <f>IF(Propostas!$C18="","",$J$4*Propostas!K18)</f>
        <v/>
      </c>
      <c r="K11" s="7" t="str">
        <f>IF(Propostas!$C18="","",$K$4*Propostas!L18)</f>
        <v/>
      </c>
      <c r="L11" s="7" t="str">
        <f>IF(Propostas!$C18="","",$L$4*Propostas!M18)</f>
        <v/>
      </c>
      <c r="M11" s="7" t="str">
        <f>IF(Propostas!$C18="","",$M$4*Propostas!N18)</f>
        <v/>
      </c>
      <c r="N11" s="7" t="str">
        <f>IF(Propostas!$C18="","",$N$4*Propostas!O18)</f>
        <v/>
      </c>
      <c r="O11" s="7" t="str">
        <f>IF(Propostas!$C18="","",$O$4*Propostas!P18)</f>
        <v/>
      </c>
      <c r="P11" s="7" t="str">
        <f>IF(Propostas!$C18="","",$P$4*Propostas!Q18)</f>
        <v/>
      </c>
      <c r="Q11" s="7" t="str">
        <f>IF(Propostas!$C18="","",$Q$4*Propostas!R18)</f>
        <v/>
      </c>
      <c r="R11" s="7" t="str">
        <f>IF(Propostas!$C18="","",$R$4*Propostas!S18)</f>
        <v/>
      </c>
      <c r="S11" s="7" t="str">
        <f>IF(Propostas!$C18="","",S$4*Parâmetros!$H11/Parâmetros!$H$4)</f>
        <v/>
      </c>
      <c r="T11" s="7" t="str">
        <f>IF(Propostas!$C18="","",T$4*Parâmetros!P11/Parâmetros!$P$4)</f>
        <v/>
      </c>
      <c r="U11" s="7" t="str">
        <f>IF(Propostas!$C18="","",U$4*Parâmetros!Q11/Parâmetros!$Q$4)</f>
        <v/>
      </c>
      <c r="V11" s="7" t="str">
        <f>IF(Propostas!$B18="","",SUM(C11:U11))</f>
        <v/>
      </c>
      <c r="W11" s="11" t="str">
        <f>IF(Propostas!$C18="","",RANK(V11,$V$5:$V$88,0))</f>
        <v/>
      </c>
      <c r="X11" s="7"/>
    </row>
    <row r="12" spans="1:25" x14ac:dyDescent="0.35">
      <c r="A12" s="11" t="str">
        <f>IF(Propostas!$C19="","",W12)</f>
        <v/>
      </c>
      <c r="B12" s="1">
        <f>Propostas!A19</f>
        <v>0</v>
      </c>
      <c r="C12" s="7" t="str">
        <f>IF(Propostas!$C19="","",C$4*Parâmetros!$C$4/Parâmetros!C12)</f>
        <v/>
      </c>
      <c r="D12" s="7" t="str">
        <f>IF(Propostas!$C19="","",D$4*(Parâmetros!D12-1)/(COUNT(Parâmetros!$C$5:$C$108)-1))</f>
        <v/>
      </c>
      <c r="E12" s="7" t="str">
        <f>IF(Propostas!$C19="","",E$4*Parâmetros!E12/Parâmetros!$E$4)</f>
        <v/>
      </c>
      <c r="F12" s="7" t="str">
        <f>IF(Propostas!$C19="","",F$4*Parâmetros!F12)</f>
        <v/>
      </c>
      <c r="G12" s="7" t="str">
        <f>IF(Propostas!$C19="","",G$4*Parâmetros!G12)</f>
        <v/>
      </c>
      <c r="H12" s="7" t="str">
        <f>IF(Propostas!$C19="","",$H$4*Propostas!I19)</f>
        <v/>
      </c>
      <c r="I12" s="7" t="str">
        <f>IF(Propostas!$C19="","",$I$4*Propostas!J19)</f>
        <v/>
      </c>
      <c r="J12" s="7" t="str">
        <f>IF(Propostas!$C19="","",$J$4*Propostas!K19)</f>
        <v/>
      </c>
      <c r="K12" s="7" t="str">
        <f>IF(Propostas!$C19="","",$K$4*Propostas!L19)</f>
        <v/>
      </c>
      <c r="L12" s="7" t="str">
        <f>IF(Propostas!$C19="","",$L$4*Propostas!M19)</f>
        <v/>
      </c>
      <c r="M12" s="7" t="str">
        <f>IF(Propostas!$C19="","",$M$4*Propostas!N19)</f>
        <v/>
      </c>
      <c r="N12" s="7" t="str">
        <f>IF(Propostas!$C19="","",$N$4*Propostas!O19)</f>
        <v/>
      </c>
      <c r="O12" s="7" t="str">
        <f>IF(Propostas!$C19="","",$O$4*Propostas!P19)</f>
        <v/>
      </c>
      <c r="P12" s="7" t="str">
        <f>IF(Propostas!$C19="","",$P$4*Propostas!Q19)</f>
        <v/>
      </c>
      <c r="Q12" s="7" t="str">
        <f>IF(Propostas!$C19="","",$Q$4*Propostas!R19)</f>
        <v/>
      </c>
      <c r="R12" s="7" t="str">
        <f>IF(Propostas!$C19="","",$R$4*Propostas!S19)</f>
        <v/>
      </c>
      <c r="S12" s="7" t="str">
        <f>IF(Propostas!$C19="","",S$4*Parâmetros!$H12/Parâmetros!$H$4)</f>
        <v/>
      </c>
      <c r="T12" s="7" t="str">
        <f>IF(Propostas!$C19="","",T$4*Parâmetros!P12/Parâmetros!$P$4)</f>
        <v/>
      </c>
      <c r="U12" s="7" t="str">
        <f>IF(Propostas!$C19="","",U$4*Parâmetros!Q12/Parâmetros!$Q$4)</f>
        <v/>
      </c>
      <c r="V12" s="7" t="str">
        <f>IF(Propostas!$B19="","",SUM(C12:U12))</f>
        <v/>
      </c>
      <c r="W12" s="11" t="str">
        <f>IF(Propostas!$C19="","",RANK(V12,$V$5:$V$88,0))</f>
        <v/>
      </c>
      <c r="X12" s="7"/>
    </row>
    <row r="13" spans="1:25" x14ac:dyDescent="0.35">
      <c r="A13" s="11" t="str">
        <f>IF(Propostas!$C20="","",W13)</f>
        <v/>
      </c>
      <c r="B13" s="1">
        <f>Propostas!A20</f>
        <v>0</v>
      </c>
      <c r="C13" s="7" t="str">
        <f>IF(Propostas!$C20="","",C$4*Parâmetros!$C$4/Parâmetros!C13)</f>
        <v/>
      </c>
      <c r="D13" s="7" t="str">
        <f>IF(Propostas!$C20="","",D$4*(Parâmetros!D13-1)/(COUNT(Parâmetros!$C$5:$C$108)-1))</f>
        <v/>
      </c>
      <c r="E13" s="7" t="str">
        <f>IF(Propostas!$C20="","",E$4*Parâmetros!E13/Parâmetros!$E$4)</f>
        <v/>
      </c>
      <c r="F13" s="7" t="str">
        <f>IF(Propostas!$C20="","",F$4*Parâmetros!F13)</f>
        <v/>
      </c>
      <c r="G13" s="7" t="str">
        <f>IF(Propostas!$C20="","",G$4*Parâmetros!G13)</f>
        <v/>
      </c>
      <c r="H13" s="7" t="str">
        <f>IF(Propostas!$C20="","",$H$4*Propostas!I20)</f>
        <v/>
      </c>
      <c r="I13" s="7" t="str">
        <f>IF(Propostas!$C20="","",$I$4*Propostas!J20)</f>
        <v/>
      </c>
      <c r="J13" s="7" t="str">
        <f>IF(Propostas!$C20="","",$J$4*Propostas!K20)</f>
        <v/>
      </c>
      <c r="K13" s="7" t="str">
        <f>IF(Propostas!$C20="","",$K$4*Propostas!L20)</f>
        <v/>
      </c>
      <c r="L13" s="7" t="str">
        <f>IF(Propostas!$C20="","",$L$4*Propostas!M20)</f>
        <v/>
      </c>
      <c r="M13" s="7" t="str">
        <f>IF(Propostas!$C20="","",$M$4*Propostas!N20)</f>
        <v/>
      </c>
      <c r="N13" s="7" t="str">
        <f>IF(Propostas!$C20="","",$N$4*Propostas!O20)</f>
        <v/>
      </c>
      <c r="O13" s="7" t="str">
        <f>IF(Propostas!$C20="","",$O$4*Propostas!P20)</f>
        <v/>
      </c>
      <c r="P13" s="7" t="str">
        <f>IF(Propostas!$C20="","",$P$4*Propostas!Q20)</f>
        <v/>
      </c>
      <c r="Q13" s="7" t="str">
        <f>IF(Propostas!$C20="","",$Q$4*Propostas!R20)</f>
        <v/>
      </c>
      <c r="R13" s="7" t="str">
        <f>IF(Propostas!$C20="","",$R$4*Propostas!S20)</f>
        <v/>
      </c>
      <c r="S13" s="7" t="str">
        <f>IF(Propostas!$C20="","",S$4*Parâmetros!$H13/Parâmetros!$H$4)</f>
        <v/>
      </c>
      <c r="T13" s="7" t="str">
        <f>IF(Propostas!$C20="","",T$4*Parâmetros!P13/Parâmetros!$P$4)</f>
        <v/>
      </c>
      <c r="U13" s="7" t="str">
        <f>IF(Propostas!$C20="","",U$4*Parâmetros!Q13/Parâmetros!$Q$4)</f>
        <v/>
      </c>
      <c r="V13" s="7" t="str">
        <f>IF(Propostas!$B20="","",SUM(C13:U13))</f>
        <v/>
      </c>
      <c r="W13" s="11" t="str">
        <f>IF(Propostas!$C20="","",RANK(V13,$V$5:$V$88,0))</f>
        <v/>
      </c>
      <c r="X13" s="7"/>
    </row>
    <row r="14" spans="1:25" x14ac:dyDescent="0.35">
      <c r="A14" s="11" t="str">
        <f>IF(Propostas!$C21="","",W14)</f>
        <v/>
      </c>
      <c r="B14" s="1">
        <f>Propostas!A21</f>
        <v>0</v>
      </c>
      <c r="C14" s="7" t="str">
        <f>IF(Propostas!$C21="","",C$4*Parâmetros!$C$4/Parâmetros!C14)</f>
        <v/>
      </c>
      <c r="D14" s="7" t="str">
        <f>IF(Propostas!$C21="","",D$4*(Parâmetros!D14-1)/(COUNT(Parâmetros!$C$5:$C$108)-1))</f>
        <v/>
      </c>
      <c r="E14" s="7" t="str">
        <f>IF(Propostas!$C21="","",E$4*Parâmetros!E14/Parâmetros!$E$4)</f>
        <v/>
      </c>
      <c r="F14" s="7" t="str">
        <f>IF(Propostas!$C21="","",F$4*Parâmetros!F14)</f>
        <v/>
      </c>
      <c r="G14" s="7" t="str">
        <f>IF(Propostas!$C21="","",G$4*Parâmetros!G14)</f>
        <v/>
      </c>
      <c r="H14" s="7" t="str">
        <f>IF(Propostas!$C21="","",$H$4*Propostas!I21)</f>
        <v/>
      </c>
      <c r="I14" s="7" t="str">
        <f>IF(Propostas!$C21="","",$I$4*Propostas!J21)</f>
        <v/>
      </c>
      <c r="J14" s="7" t="str">
        <f>IF(Propostas!$C21="","",$J$4*Propostas!K21)</f>
        <v/>
      </c>
      <c r="K14" s="7" t="str">
        <f>IF(Propostas!$C21="","",$K$4*Propostas!L21)</f>
        <v/>
      </c>
      <c r="L14" s="7" t="str">
        <f>IF(Propostas!$C21="","",$L$4*Propostas!M21)</f>
        <v/>
      </c>
      <c r="M14" s="7" t="str">
        <f>IF(Propostas!$C21="","",$M$4*Propostas!N21)</f>
        <v/>
      </c>
      <c r="N14" s="7" t="str">
        <f>IF(Propostas!$C21="","",$N$4*Propostas!O21)</f>
        <v/>
      </c>
      <c r="O14" s="7" t="str">
        <f>IF(Propostas!$C21="","",$O$4*Propostas!P21)</f>
        <v/>
      </c>
      <c r="P14" s="7" t="str">
        <f>IF(Propostas!$C21="","",$P$4*Propostas!Q21)</f>
        <v/>
      </c>
      <c r="Q14" s="7" t="str">
        <f>IF(Propostas!$C21="","",$Q$4*Propostas!R21)</f>
        <v/>
      </c>
      <c r="R14" s="7" t="str">
        <f>IF(Propostas!$C21="","",$R$4*Propostas!S21)</f>
        <v/>
      </c>
      <c r="S14" s="7" t="str">
        <f>IF(Propostas!$C21="","",S$4*Parâmetros!$H14/Parâmetros!$H$4)</f>
        <v/>
      </c>
      <c r="T14" s="7" t="str">
        <f>IF(Propostas!$C21="","",T$4*Parâmetros!P14/Parâmetros!$P$4)</f>
        <v/>
      </c>
      <c r="U14" s="7" t="str">
        <f>IF(Propostas!$C21="","",U$4*Parâmetros!Q14/Parâmetros!$Q$4)</f>
        <v/>
      </c>
      <c r="V14" s="7" t="str">
        <f>IF(Propostas!$B21="","",SUM(C14:U14))</f>
        <v/>
      </c>
      <c r="W14" s="11" t="str">
        <f>IF(Propostas!$C21="","",RANK(V14,$V$5:$V$88,0))</f>
        <v/>
      </c>
      <c r="X14" s="7"/>
    </row>
    <row r="15" spans="1:25" x14ac:dyDescent="0.35">
      <c r="A15" s="11" t="str">
        <f>IF(Propostas!$C22="","",W15)</f>
        <v/>
      </c>
      <c r="B15" s="1">
        <f>Propostas!A22</f>
        <v>0</v>
      </c>
      <c r="C15" s="7" t="str">
        <f>IF(Propostas!$C22="","",C$4*Parâmetros!$C$4/Parâmetros!C15)</f>
        <v/>
      </c>
      <c r="D15" s="7" t="str">
        <f>IF(Propostas!$C22="","",D$4*(Parâmetros!D15-1)/(COUNT(Parâmetros!$C$5:$C$108)-1))</f>
        <v/>
      </c>
      <c r="E15" s="7" t="str">
        <f>IF(Propostas!$C22="","",E$4*Parâmetros!E15/Parâmetros!$E$4)</f>
        <v/>
      </c>
      <c r="F15" s="7" t="str">
        <f>IF(Propostas!$C22="","",F$4*Parâmetros!F15)</f>
        <v/>
      </c>
      <c r="G15" s="7" t="str">
        <f>IF(Propostas!$C22="","",G$4*Parâmetros!G15)</f>
        <v/>
      </c>
      <c r="H15" s="7" t="str">
        <f>IF(Propostas!$C22="","",$H$4*Propostas!I22)</f>
        <v/>
      </c>
      <c r="I15" s="7" t="str">
        <f>IF(Propostas!$C22="","",$I$4*Propostas!J22)</f>
        <v/>
      </c>
      <c r="J15" s="7" t="str">
        <f>IF(Propostas!$C22="","",$J$4*Propostas!K22)</f>
        <v/>
      </c>
      <c r="K15" s="7" t="str">
        <f>IF(Propostas!$C22="","",$K$4*Propostas!L22)</f>
        <v/>
      </c>
      <c r="L15" s="7" t="str">
        <f>IF(Propostas!$C22="","",$L$4*Propostas!M22)</f>
        <v/>
      </c>
      <c r="M15" s="7" t="str">
        <f>IF(Propostas!$C22="","",$M$4*Propostas!N22)</f>
        <v/>
      </c>
      <c r="N15" s="7" t="str">
        <f>IF(Propostas!$C22="","",$N$4*Propostas!O22)</f>
        <v/>
      </c>
      <c r="O15" s="7" t="str">
        <f>IF(Propostas!$C22="","",$O$4*Propostas!P22)</f>
        <v/>
      </c>
      <c r="P15" s="7" t="str">
        <f>IF(Propostas!$C22="","",$P$4*Propostas!Q22)</f>
        <v/>
      </c>
      <c r="Q15" s="7" t="str">
        <f>IF(Propostas!$C22="","",$Q$4*Propostas!R22)</f>
        <v/>
      </c>
      <c r="R15" s="7" t="str">
        <f>IF(Propostas!$C22="","",$R$4*Propostas!S22)</f>
        <v/>
      </c>
      <c r="S15" s="7" t="str">
        <f>IF(Propostas!$C22="","",S$4*Parâmetros!$H15/Parâmetros!$H$4)</f>
        <v/>
      </c>
      <c r="T15" s="7" t="str">
        <f>IF(Propostas!$C22="","",T$4*Parâmetros!P15/Parâmetros!$P$4)</f>
        <v/>
      </c>
      <c r="U15" s="7" t="str">
        <f>IF(Propostas!$C22="","",U$4*Parâmetros!Q15/Parâmetros!$Q$4)</f>
        <v/>
      </c>
      <c r="V15" s="7" t="str">
        <f>IF(Propostas!$B22="","",SUM(C15:U15))</f>
        <v/>
      </c>
      <c r="W15" s="11" t="str">
        <f>IF(Propostas!$C22="","",RANK(V15,$V$5:$V$88,0))</f>
        <v/>
      </c>
      <c r="X15" s="7"/>
    </row>
    <row r="16" spans="1:25" x14ac:dyDescent="0.35">
      <c r="A16" s="11" t="str">
        <f>IF(Propostas!$C23="","",W16)</f>
        <v/>
      </c>
      <c r="B16" s="1">
        <f>Propostas!A23</f>
        <v>0</v>
      </c>
      <c r="C16" s="7" t="str">
        <f>IF(Propostas!$C23="","",C$4*Parâmetros!$C$4/Parâmetros!C16)</f>
        <v/>
      </c>
      <c r="D16" s="7" t="str">
        <f>IF(Propostas!$C23="","",D$4*(Parâmetros!D16-1)/(COUNT(Parâmetros!$C$5:$C$108)-1))</f>
        <v/>
      </c>
      <c r="E16" s="7" t="str">
        <f>IF(Propostas!$C23="","",E$4*Parâmetros!E16/Parâmetros!$E$4)</f>
        <v/>
      </c>
      <c r="F16" s="7" t="str">
        <f>IF(Propostas!$C23="","",F$4*Parâmetros!F16)</f>
        <v/>
      </c>
      <c r="G16" s="7" t="str">
        <f>IF(Propostas!$C23="","",G$4*Parâmetros!G16)</f>
        <v/>
      </c>
      <c r="H16" s="7" t="str">
        <f>IF(Propostas!$C23="","",$H$4*Propostas!I23)</f>
        <v/>
      </c>
      <c r="I16" s="7" t="str">
        <f>IF(Propostas!$C23="","",$I$4*Propostas!J23)</f>
        <v/>
      </c>
      <c r="J16" s="7" t="str">
        <f>IF(Propostas!$C23="","",$J$4*Propostas!K23)</f>
        <v/>
      </c>
      <c r="K16" s="7" t="str">
        <f>IF(Propostas!$C23="","",$K$4*Propostas!L23)</f>
        <v/>
      </c>
      <c r="L16" s="7" t="str">
        <f>IF(Propostas!$C23="","",$L$4*Propostas!M23)</f>
        <v/>
      </c>
      <c r="M16" s="7" t="str">
        <f>IF(Propostas!$C23="","",$M$4*Propostas!N23)</f>
        <v/>
      </c>
      <c r="N16" s="7" t="str">
        <f>IF(Propostas!$C23="","",$N$4*Propostas!O23)</f>
        <v/>
      </c>
      <c r="O16" s="7" t="str">
        <f>IF(Propostas!$C23="","",$O$4*Propostas!P23)</f>
        <v/>
      </c>
      <c r="P16" s="7" t="str">
        <f>IF(Propostas!$C23="","",$P$4*Propostas!Q23)</f>
        <v/>
      </c>
      <c r="Q16" s="7" t="str">
        <f>IF(Propostas!$C23="","",$Q$4*Propostas!R23)</f>
        <v/>
      </c>
      <c r="R16" s="7" t="str">
        <f>IF(Propostas!$C23="","",$R$4*Propostas!S23)</f>
        <v/>
      </c>
      <c r="S16" s="7" t="str">
        <f>IF(Propostas!$C23="","",S$4*Parâmetros!$H16/Parâmetros!$H$4)</f>
        <v/>
      </c>
      <c r="T16" s="7" t="str">
        <f>IF(Propostas!$C23="","",T$4*Parâmetros!P16/Parâmetros!$P$4)</f>
        <v/>
      </c>
      <c r="U16" s="7" t="str">
        <f>IF(Propostas!$C23="","",U$4*Parâmetros!Q16/Parâmetros!$Q$4)</f>
        <v/>
      </c>
      <c r="V16" s="7" t="str">
        <f>IF(Propostas!$B23="","",SUM(C16:U16))</f>
        <v/>
      </c>
      <c r="W16" s="11" t="str">
        <f>IF(Propostas!$C23="","",RANK(V16,$V$5:$V$88,0))</f>
        <v/>
      </c>
      <c r="X16" s="7"/>
    </row>
    <row r="17" spans="1:24" x14ac:dyDescent="0.35">
      <c r="A17" s="11" t="str">
        <f>IF(Propostas!$C24="","",W17)</f>
        <v/>
      </c>
      <c r="B17" s="1">
        <f>Propostas!A24</f>
        <v>0</v>
      </c>
      <c r="C17" s="7" t="str">
        <f>IF(Propostas!$C24="","",C$4*Parâmetros!$C$4/Parâmetros!C17)</f>
        <v/>
      </c>
      <c r="D17" s="7" t="str">
        <f>IF(Propostas!$C24="","",D$4*(Parâmetros!D17-1)/(COUNT(Parâmetros!$C$5:$C$108)-1))</f>
        <v/>
      </c>
      <c r="E17" s="7" t="str">
        <f>IF(Propostas!$C24="","",E$4*Parâmetros!E17/Parâmetros!$E$4)</f>
        <v/>
      </c>
      <c r="F17" s="7" t="str">
        <f>IF(Propostas!$C24="","",F$4*Parâmetros!F17)</f>
        <v/>
      </c>
      <c r="G17" s="7" t="str">
        <f>IF(Propostas!$C24="","",G$4*Parâmetros!G17)</f>
        <v/>
      </c>
      <c r="H17" s="7" t="str">
        <f>IF(Propostas!$C24="","",$H$4*Propostas!I24)</f>
        <v/>
      </c>
      <c r="I17" s="7" t="str">
        <f>IF(Propostas!$C24="","",$I$4*Propostas!J24)</f>
        <v/>
      </c>
      <c r="J17" s="7" t="str">
        <f>IF(Propostas!$C24="","",$J$4*Propostas!K24)</f>
        <v/>
      </c>
      <c r="K17" s="7" t="str">
        <f>IF(Propostas!$C24="","",$K$4*Propostas!L24)</f>
        <v/>
      </c>
      <c r="L17" s="7" t="str">
        <f>IF(Propostas!$C24="","",$L$4*Propostas!M24)</f>
        <v/>
      </c>
      <c r="M17" s="7" t="str">
        <f>IF(Propostas!$C24="","",$M$4*Propostas!N24)</f>
        <v/>
      </c>
      <c r="N17" s="7" t="str">
        <f>IF(Propostas!$C24="","",$N$4*Propostas!O24)</f>
        <v/>
      </c>
      <c r="O17" s="7" t="str">
        <f>IF(Propostas!$C24="","",$O$4*Propostas!P24)</f>
        <v/>
      </c>
      <c r="P17" s="7" t="str">
        <f>IF(Propostas!$C24="","",$P$4*Propostas!Q24)</f>
        <v/>
      </c>
      <c r="Q17" s="7" t="str">
        <f>IF(Propostas!$C24="","",$Q$4*Propostas!R24)</f>
        <v/>
      </c>
      <c r="R17" s="7" t="str">
        <f>IF(Propostas!$C24="","",$R$4*Propostas!S24)</f>
        <v/>
      </c>
      <c r="S17" s="7" t="str">
        <f>IF(Propostas!$C24="","",S$4*Parâmetros!$H17/Parâmetros!$H$4)</f>
        <v/>
      </c>
      <c r="T17" s="7" t="str">
        <f>IF(Propostas!$C24="","",T$4*Parâmetros!P17/Parâmetros!$P$4)</f>
        <v/>
      </c>
      <c r="U17" s="7" t="str">
        <f>IF(Propostas!$C24="","",U$4*Parâmetros!Q17/Parâmetros!$Q$4)</f>
        <v/>
      </c>
      <c r="V17" s="7" t="str">
        <f>IF(Propostas!$B24="","",SUM(C17:U17))</f>
        <v/>
      </c>
      <c r="W17" s="11" t="str">
        <f>IF(Propostas!$C24="","",RANK(V17,$V$5:$V$88,0))</f>
        <v/>
      </c>
      <c r="X17" s="7"/>
    </row>
    <row r="18" spans="1:24" x14ac:dyDescent="0.35">
      <c r="A18" s="11" t="str">
        <f>IF(Propostas!$C25="","",W18)</f>
        <v/>
      </c>
      <c r="B18" s="1">
        <f>Propostas!A25</f>
        <v>0</v>
      </c>
      <c r="C18" s="7" t="str">
        <f>IF(Propostas!$C25="","",C$4*Parâmetros!$C$4/Parâmetros!C18)</f>
        <v/>
      </c>
      <c r="D18" s="7" t="str">
        <f>IF(Propostas!$C25="","",D$4*(Parâmetros!D18-1)/(COUNT(Parâmetros!$C$5:$C$108)-1))</f>
        <v/>
      </c>
      <c r="E18" s="7" t="str">
        <f>IF(Propostas!$C25="","",E$4*Parâmetros!E18/Parâmetros!$E$4)</f>
        <v/>
      </c>
      <c r="F18" s="7" t="str">
        <f>IF(Propostas!$C25="","",F$4*Parâmetros!F18)</f>
        <v/>
      </c>
      <c r="G18" s="7" t="str">
        <f>IF(Propostas!$C25="","",G$4*Parâmetros!G18)</f>
        <v/>
      </c>
      <c r="H18" s="7" t="str">
        <f>IF(Propostas!$C25="","",$H$4*Propostas!I25)</f>
        <v/>
      </c>
      <c r="I18" s="7" t="str">
        <f>IF(Propostas!$C25="","",$I$4*Propostas!J25)</f>
        <v/>
      </c>
      <c r="J18" s="7" t="str">
        <f>IF(Propostas!$C25="","",$J$4*Propostas!K25)</f>
        <v/>
      </c>
      <c r="K18" s="7" t="str">
        <f>IF(Propostas!$C25="","",$K$4*Propostas!L25)</f>
        <v/>
      </c>
      <c r="L18" s="7" t="str">
        <f>IF(Propostas!$C25="","",$L$4*Propostas!M25)</f>
        <v/>
      </c>
      <c r="M18" s="7" t="str">
        <f>IF(Propostas!$C25="","",$M$4*Propostas!N25)</f>
        <v/>
      </c>
      <c r="N18" s="7" t="str">
        <f>IF(Propostas!$C25="","",$N$4*Propostas!O25)</f>
        <v/>
      </c>
      <c r="O18" s="7" t="str">
        <f>IF(Propostas!$C25="","",$O$4*Propostas!P25)</f>
        <v/>
      </c>
      <c r="P18" s="7" t="str">
        <f>IF(Propostas!$C25="","",$P$4*Propostas!Q25)</f>
        <v/>
      </c>
      <c r="Q18" s="7" t="str">
        <f>IF(Propostas!$C25="","",$Q$4*Propostas!R25)</f>
        <v/>
      </c>
      <c r="R18" s="7" t="str">
        <f>IF(Propostas!$C25="","",$R$4*Propostas!S25)</f>
        <v/>
      </c>
      <c r="S18" s="7" t="str">
        <f>IF(Propostas!$C25="","",S$4*Parâmetros!$H18/Parâmetros!$H$4)</f>
        <v/>
      </c>
      <c r="T18" s="7" t="str">
        <f>IF(Propostas!$C25="","",T$4*Parâmetros!P18/Parâmetros!$P$4)</f>
        <v/>
      </c>
      <c r="U18" s="7" t="str">
        <f>IF(Propostas!$C25="","",U$4*Parâmetros!Q18/Parâmetros!$Q$4)</f>
        <v/>
      </c>
      <c r="V18" s="7" t="str">
        <f>IF(Propostas!$B25="","",SUM(C18:U18))</f>
        <v/>
      </c>
      <c r="W18" s="11" t="str">
        <f>IF(Propostas!$C25="","",RANK(V18,$V$5:$V$88,0))</f>
        <v/>
      </c>
      <c r="X18" s="7"/>
    </row>
    <row r="19" spans="1:24" x14ac:dyDescent="0.35">
      <c r="A19" s="11" t="str">
        <f>IF(Propostas!$C26="","",W19)</f>
        <v/>
      </c>
      <c r="B19" s="1">
        <f>Propostas!A26</f>
        <v>0</v>
      </c>
      <c r="C19" s="7" t="str">
        <f>IF(Propostas!$C26="","",C$4*Parâmetros!$C$4/Parâmetros!C19)</f>
        <v/>
      </c>
      <c r="D19" s="7" t="str">
        <f>IF(Propostas!$C26="","",D$4*(Parâmetros!D19-1)/(COUNT(Parâmetros!$C$5:$C$108)-1))</f>
        <v/>
      </c>
      <c r="E19" s="7" t="str">
        <f>IF(Propostas!$C26="","",E$4*Parâmetros!E19/Parâmetros!$E$4)</f>
        <v/>
      </c>
      <c r="F19" s="7" t="str">
        <f>IF(Propostas!$C26="","",F$4*Parâmetros!F19)</f>
        <v/>
      </c>
      <c r="G19" s="7" t="str">
        <f>IF(Propostas!$C26="","",G$4*Parâmetros!G19)</f>
        <v/>
      </c>
      <c r="H19" s="7" t="str">
        <f>IF(Propostas!$C26="","",$H$4*Propostas!I26)</f>
        <v/>
      </c>
      <c r="I19" s="7" t="str">
        <f>IF(Propostas!$C26="","",$I$4*Propostas!J26)</f>
        <v/>
      </c>
      <c r="J19" s="7" t="str">
        <f>IF(Propostas!$C26="","",$J$4*Propostas!K26)</f>
        <v/>
      </c>
      <c r="K19" s="7" t="str">
        <f>IF(Propostas!$C26="","",$K$4*Propostas!L26)</f>
        <v/>
      </c>
      <c r="L19" s="7" t="str">
        <f>IF(Propostas!$C26="","",$L$4*Propostas!M26)</f>
        <v/>
      </c>
      <c r="M19" s="7" t="str">
        <f>IF(Propostas!$C26="","",$M$4*Propostas!N26)</f>
        <v/>
      </c>
      <c r="N19" s="7" t="str">
        <f>IF(Propostas!$C26="","",$N$4*Propostas!O26)</f>
        <v/>
      </c>
      <c r="O19" s="7" t="str">
        <f>IF(Propostas!$C26="","",$O$4*Propostas!P26)</f>
        <v/>
      </c>
      <c r="P19" s="7" t="str">
        <f>IF(Propostas!$C26="","",$P$4*Propostas!Q26)</f>
        <v/>
      </c>
      <c r="Q19" s="7" t="str">
        <f>IF(Propostas!$C26="","",$Q$4*Propostas!R26)</f>
        <v/>
      </c>
      <c r="R19" s="7" t="str">
        <f>IF(Propostas!$C26="","",$R$4*Propostas!S26)</f>
        <v/>
      </c>
      <c r="S19" s="7" t="str">
        <f>IF(Propostas!$C26="","",S$4*Parâmetros!$H19/Parâmetros!$H$4)</f>
        <v/>
      </c>
      <c r="T19" s="7" t="str">
        <f>IF(Propostas!$C26="","",T$4*Parâmetros!P19/Parâmetros!$P$4)</f>
        <v/>
      </c>
      <c r="U19" s="7" t="str">
        <f>IF(Propostas!$C26="","",U$4*Parâmetros!Q19/Parâmetros!$Q$4)</f>
        <v/>
      </c>
      <c r="V19" s="7" t="str">
        <f>IF(Propostas!$B26="","",SUM(C19:U19))</f>
        <v/>
      </c>
      <c r="W19" s="11" t="str">
        <f>IF(Propostas!$C26="","",RANK(V19,$V$5:$V$88,0))</f>
        <v/>
      </c>
      <c r="X19" s="7"/>
    </row>
    <row r="20" spans="1:24" x14ac:dyDescent="0.35">
      <c r="A20" s="11" t="str">
        <f>IF(Propostas!$C27="","",W20)</f>
        <v/>
      </c>
      <c r="B20" s="1">
        <f>Propostas!A27</f>
        <v>0</v>
      </c>
      <c r="C20" s="7" t="str">
        <f>IF(Propostas!$C27="","",C$4*Parâmetros!$C$4/Parâmetros!C20)</f>
        <v/>
      </c>
      <c r="D20" s="7" t="str">
        <f>IF(Propostas!$C27="","",D$4*(Parâmetros!D20-1)/(COUNT(Parâmetros!$C$5:$C$108)-1))</f>
        <v/>
      </c>
      <c r="E20" s="7" t="str">
        <f>IF(Propostas!$C27="","",E$4*Parâmetros!E20/Parâmetros!$E$4)</f>
        <v/>
      </c>
      <c r="F20" s="7" t="str">
        <f>IF(Propostas!$C27="","",F$4*Parâmetros!F20)</f>
        <v/>
      </c>
      <c r="G20" s="7" t="str">
        <f>IF(Propostas!$C27="","",G$4*Parâmetros!G20)</f>
        <v/>
      </c>
      <c r="H20" s="7" t="str">
        <f>IF(Propostas!$C27="","",$H$4*Propostas!I27)</f>
        <v/>
      </c>
      <c r="I20" s="7" t="str">
        <f>IF(Propostas!$C27="","",$I$4*Propostas!J27)</f>
        <v/>
      </c>
      <c r="J20" s="7" t="str">
        <f>IF(Propostas!$C27="","",$J$4*Propostas!K27)</f>
        <v/>
      </c>
      <c r="K20" s="7" t="str">
        <f>IF(Propostas!$C27="","",$K$4*Propostas!L27)</f>
        <v/>
      </c>
      <c r="L20" s="7" t="str">
        <f>IF(Propostas!$C27="","",$L$4*Propostas!M27)</f>
        <v/>
      </c>
      <c r="M20" s="7" t="str">
        <f>IF(Propostas!$C27="","",$M$4*Propostas!N27)</f>
        <v/>
      </c>
      <c r="N20" s="7" t="str">
        <f>IF(Propostas!$C27="","",$N$4*Propostas!O27)</f>
        <v/>
      </c>
      <c r="O20" s="7" t="str">
        <f>IF(Propostas!$C27="","",$O$4*Propostas!P27)</f>
        <v/>
      </c>
      <c r="P20" s="7" t="str">
        <f>IF(Propostas!$C27="","",$P$4*Propostas!Q27)</f>
        <v/>
      </c>
      <c r="Q20" s="7" t="str">
        <f>IF(Propostas!$C27="","",$Q$4*Propostas!R27)</f>
        <v/>
      </c>
      <c r="R20" s="7" t="str">
        <f>IF(Propostas!$C27="","",$R$4*Propostas!S27)</f>
        <v/>
      </c>
      <c r="S20" s="7" t="str">
        <f>IF(Propostas!$C27="","",S$4*Parâmetros!$H20/Parâmetros!$H$4)</f>
        <v/>
      </c>
      <c r="T20" s="7" t="str">
        <f>IF(Propostas!$C27="","",T$4*Parâmetros!P20/Parâmetros!$P$4)</f>
        <v/>
      </c>
      <c r="U20" s="7" t="str">
        <f>IF(Propostas!$C27="","",U$4*Parâmetros!Q20/Parâmetros!$Q$4)</f>
        <v/>
      </c>
      <c r="V20" s="7" t="str">
        <f>IF(Propostas!$B27="","",SUM(C20:U20))</f>
        <v/>
      </c>
      <c r="W20" s="11" t="str">
        <f>IF(Propostas!$C27="","",RANK(V20,$V$5:$V$88,0))</f>
        <v/>
      </c>
      <c r="X20" s="7"/>
    </row>
    <row r="21" spans="1:24" x14ac:dyDescent="0.35">
      <c r="A21" s="11" t="str">
        <f>IF(Propostas!$C28="","",W21)</f>
        <v/>
      </c>
      <c r="B21" s="1">
        <f>Propostas!A28</f>
        <v>0</v>
      </c>
      <c r="C21" s="7" t="str">
        <f>IF(Propostas!$C28="","",C$4*Parâmetros!$C$4/Parâmetros!C21)</f>
        <v/>
      </c>
      <c r="D21" s="7" t="str">
        <f>IF(Propostas!$C28="","",D$4*(Parâmetros!D21-1)/(COUNT(Parâmetros!$C$5:$C$108)-1))</f>
        <v/>
      </c>
      <c r="E21" s="7" t="str">
        <f>IF(Propostas!$C28="","",E$4*Parâmetros!E21/Parâmetros!$E$4)</f>
        <v/>
      </c>
      <c r="F21" s="7" t="str">
        <f>IF(Propostas!$C28="","",F$4*Parâmetros!F21)</f>
        <v/>
      </c>
      <c r="G21" s="7" t="str">
        <f>IF(Propostas!$C28="","",G$4*Parâmetros!G21)</f>
        <v/>
      </c>
      <c r="H21" s="7" t="str">
        <f>IF(Propostas!$C28="","",$H$4*Propostas!I28)</f>
        <v/>
      </c>
      <c r="I21" s="7" t="str">
        <f>IF(Propostas!$C28="","",$I$4*Propostas!J28)</f>
        <v/>
      </c>
      <c r="J21" s="7" t="str">
        <f>IF(Propostas!$C28="","",$J$4*Propostas!K28)</f>
        <v/>
      </c>
      <c r="K21" s="7" t="str">
        <f>IF(Propostas!$C28="","",$K$4*Propostas!L28)</f>
        <v/>
      </c>
      <c r="L21" s="7" t="str">
        <f>IF(Propostas!$C28="","",$L$4*Propostas!M28)</f>
        <v/>
      </c>
      <c r="M21" s="7" t="str">
        <f>IF(Propostas!$C28="","",$M$4*Propostas!N28)</f>
        <v/>
      </c>
      <c r="N21" s="7" t="str">
        <f>IF(Propostas!$C28="","",$N$4*Propostas!O28)</f>
        <v/>
      </c>
      <c r="O21" s="7" t="str">
        <f>IF(Propostas!$C28="","",$O$4*Propostas!P28)</f>
        <v/>
      </c>
      <c r="P21" s="7" t="str">
        <f>IF(Propostas!$C28="","",$P$4*Propostas!Q28)</f>
        <v/>
      </c>
      <c r="Q21" s="7" t="str">
        <f>IF(Propostas!$C28="","",$Q$4*Propostas!R28)</f>
        <v/>
      </c>
      <c r="R21" s="7" t="str">
        <f>IF(Propostas!$C28="","",$R$4*Propostas!S28)</f>
        <v/>
      </c>
      <c r="S21" s="7" t="str">
        <f>IF(Propostas!$C28="","",S$4*Parâmetros!$H21/Parâmetros!$H$4)</f>
        <v/>
      </c>
      <c r="T21" s="7" t="str">
        <f>IF(Propostas!$C28="","",T$4*Parâmetros!P21/Parâmetros!$P$4)</f>
        <v/>
      </c>
      <c r="U21" s="7" t="str">
        <f>IF(Propostas!$C28="","",U$4*Parâmetros!Q21/Parâmetros!$Q$4)</f>
        <v/>
      </c>
      <c r="V21" s="7" t="str">
        <f>IF(Propostas!$B28="","",SUM(C21:U21))</f>
        <v/>
      </c>
      <c r="W21" s="11" t="str">
        <f>IF(Propostas!$C28="","",RANK(V21,$V$5:$V$88,0))</f>
        <v/>
      </c>
    </row>
    <row r="22" spans="1:24" x14ac:dyDescent="0.35">
      <c r="A22" s="11" t="str">
        <f>IF(Propostas!$C29="","",W22)</f>
        <v/>
      </c>
      <c r="B22" s="1">
        <f>Propostas!A29</f>
        <v>0</v>
      </c>
      <c r="C22" s="7" t="str">
        <f>IF(Propostas!$C29="","",C$4*Parâmetros!$C$4/Parâmetros!C22)</f>
        <v/>
      </c>
      <c r="D22" s="7" t="str">
        <f>IF(Propostas!$C29="","",D$4*(Parâmetros!D22-1)/(COUNT(Parâmetros!$C$5:$C$108)-1))</f>
        <v/>
      </c>
      <c r="E22" s="7" t="str">
        <f>IF(Propostas!$C29="","",E$4*Parâmetros!E22/Parâmetros!$E$4)</f>
        <v/>
      </c>
      <c r="F22" s="7" t="str">
        <f>IF(Propostas!$C29="","",F$4*Parâmetros!F22)</f>
        <v/>
      </c>
      <c r="G22" s="7" t="str">
        <f>IF(Propostas!$C29="","",G$4*Parâmetros!G22)</f>
        <v/>
      </c>
      <c r="H22" s="7" t="str">
        <f>IF(Propostas!$C29="","",$H$4*Propostas!I29)</f>
        <v/>
      </c>
      <c r="I22" s="7" t="str">
        <f>IF(Propostas!$C29="","",$I$4*Propostas!J29)</f>
        <v/>
      </c>
      <c r="J22" s="7" t="str">
        <f>IF(Propostas!$C29="","",$J$4*Propostas!K29)</f>
        <v/>
      </c>
      <c r="K22" s="7" t="str">
        <f>IF(Propostas!$C29="","",$K$4*Propostas!L29)</f>
        <v/>
      </c>
      <c r="L22" s="7" t="str">
        <f>IF(Propostas!$C29="","",$L$4*Propostas!M29)</f>
        <v/>
      </c>
      <c r="M22" s="7" t="str">
        <f>IF(Propostas!$C29="","",$M$4*Propostas!N29)</f>
        <v/>
      </c>
      <c r="N22" s="7" t="str">
        <f>IF(Propostas!$C29="","",$N$4*Propostas!O29)</f>
        <v/>
      </c>
      <c r="O22" s="7" t="str">
        <f>IF(Propostas!$C29="","",$O$4*Propostas!P29)</f>
        <v/>
      </c>
      <c r="P22" s="7" t="str">
        <f>IF(Propostas!$C29="","",$P$4*Propostas!Q29)</f>
        <v/>
      </c>
      <c r="Q22" s="7" t="str">
        <f>IF(Propostas!$C29="","",$Q$4*Propostas!R29)</f>
        <v/>
      </c>
      <c r="R22" s="7" t="str">
        <f>IF(Propostas!$C29="","",$R$4*Propostas!S29)</f>
        <v/>
      </c>
      <c r="S22" s="7" t="str">
        <f>IF(Propostas!$C29="","",S$4*Parâmetros!$H22/Parâmetros!$H$4)</f>
        <v/>
      </c>
      <c r="T22" s="7" t="str">
        <f>IF(Propostas!$C29="","",T$4*Parâmetros!P22/Parâmetros!$P$4)</f>
        <v/>
      </c>
      <c r="U22" s="7" t="str">
        <f>IF(Propostas!$C29="","",U$4*Parâmetros!Q22/Parâmetros!$Q$4)</f>
        <v/>
      </c>
      <c r="V22" s="7" t="str">
        <f>IF(Propostas!$B29="","",SUM(C22:U22))</f>
        <v/>
      </c>
      <c r="W22" s="11" t="str">
        <f>IF(Propostas!$C29="","",RANK(V22,$V$5:$V$88,0))</f>
        <v/>
      </c>
    </row>
    <row r="23" spans="1:24" x14ac:dyDescent="0.35">
      <c r="A23" s="11" t="str">
        <f>IF(Propostas!$C30="","",W23)</f>
        <v/>
      </c>
      <c r="B23" s="1">
        <f>Propostas!A30</f>
        <v>0</v>
      </c>
      <c r="C23" s="7" t="str">
        <f>IF(Propostas!$C30="","",C$4*Parâmetros!$C$4/Parâmetros!C23)</f>
        <v/>
      </c>
      <c r="D23" s="7" t="str">
        <f>IF(Propostas!$C30="","",D$4*(Parâmetros!D23-1)/(COUNT(Parâmetros!$C$5:$C$108)-1))</f>
        <v/>
      </c>
      <c r="E23" s="7" t="str">
        <f>IF(Propostas!$C30="","",E$4*Parâmetros!E23/Parâmetros!$E$4)</f>
        <v/>
      </c>
      <c r="F23" s="7" t="str">
        <f>IF(Propostas!$C30="","",F$4*Parâmetros!F23)</f>
        <v/>
      </c>
      <c r="G23" s="7" t="str">
        <f>IF(Propostas!$C30="","",G$4*Parâmetros!G23)</f>
        <v/>
      </c>
      <c r="H23" s="7" t="str">
        <f>IF(Propostas!$C30="","",$H$4*Propostas!I30)</f>
        <v/>
      </c>
      <c r="I23" s="7" t="str">
        <f>IF(Propostas!$C30="","",$I$4*Propostas!J30)</f>
        <v/>
      </c>
      <c r="J23" s="7" t="str">
        <f>IF(Propostas!$C30="","",$J$4*Propostas!K30)</f>
        <v/>
      </c>
      <c r="K23" s="7" t="str">
        <f>IF(Propostas!$C30="","",$K$4*Propostas!L30)</f>
        <v/>
      </c>
      <c r="L23" s="7" t="str">
        <f>IF(Propostas!$C30="","",$L$4*Propostas!M30)</f>
        <v/>
      </c>
      <c r="M23" s="7" t="str">
        <f>IF(Propostas!$C30="","",$M$4*Propostas!N30)</f>
        <v/>
      </c>
      <c r="N23" s="7" t="str">
        <f>IF(Propostas!$C30="","",$N$4*Propostas!O30)</f>
        <v/>
      </c>
      <c r="O23" s="7" t="str">
        <f>IF(Propostas!$C30="","",$O$4*Propostas!P30)</f>
        <v/>
      </c>
      <c r="P23" s="7" t="str">
        <f>IF(Propostas!$C30="","",$P$4*Propostas!Q30)</f>
        <v/>
      </c>
      <c r="Q23" s="7" t="str">
        <f>IF(Propostas!$C30="","",$Q$4*Propostas!R30)</f>
        <v/>
      </c>
      <c r="R23" s="7" t="str">
        <f>IF(Propostas!$C30="","",$R$4*Propostas!S30)</f>
        <v/>
      </c>
      <c r="S23" s="7" t="str">
        <f>IF(Propostas!$C30="","",S$4*Parâmetros!$H23/Parâmetros!$H$4)</f>
        <v/>
      </c>
      <c r="T23" s="7" t="str">
        <f>IF(Propostas!$C30="","",T$4*Parâmetros!P23/Parâmetros!$P$4)</f>
        <v/>
      </c>
      <c r="U23" s="7" t="str">
        <f>IF(Propostas!$C30="","",U$4*Parâmetros!Q23/Parâmetros!$Q$4)</f>
        <v/>
      </c>
      <c r="V23" s="7" t="str">
        <f>IF(Propostas!$B30="","",SUM(C23:U23))</f>
        <v/>
      </c>
      <c r="W23" s="11" t="str">
        <f>IF(Propostas!$C30="","",RANK(V23,$V$5:$V$88,0))</f>
        <v/>
      </c>
    </row>
    <row r="24" spans="1:24" x14ac:dyDescent="0.35">
      <c r="A24" s="11" t="str">
        <f>IF(Propostas!$C31="","",W24)</f>
        <v/>
      </c>
      <c r="B24" s="1">
        <f>Propostas!A31</f>
        <v>0</v>
      </c>
      <c r="C24" s="7" t="str">
        <f>IF(Propostas!$C31="","",C$4*Parâmetros!$C$4/Parâmetros!C24)</f>
        <v/>
      </c>
      <c r="D24" s="7" t="str">
        <f>IF(Propostas!$C31="","",D$4*(Parâmetros!D24-1)/(COUNT(Parâmetros!$C$5:$C$108)-1))</f>
        <v/>
      </c>
      <c r="E24" s="7" t="str">
        <f>IF(Propostas!$C31="","",E$4*Parâmetros!E24/Parâmetros!$E$4)</f>
        <v/>
      </c>
      <c r="F24" s="7" t="str">
        <f>IF(Propostas!$C31="","",F$4*Parâmetros!F24)</f>
        <v/>
      </c>
      <c r="G24" s="7" t="str">
        <f>IF(Propostas!$C31="","",G$4*Parâmetros!G24)</f>
        <v/>
      </c>
      <c r="H24" s="7" t="str">
        <f>IF(Propostas!$C31="","",$H$4*Propostas!I31)</f>
        <v/>
      </c>
      <c r="I24" s="7" t="str">
        <f>IF(Propostas!$C31="","",$I$4*Propostas!J31)</f>
        <v/>
      </c>
      <c r="J24" s="7" t="str">
        <f>IF(Propostas!$C31="","",$J$4*Propostas!K31)</f>
        <v/>
      </c>
      <c r="K24" s="7" t="str">
        <f>IF(Propostas!$C31="","",$K$4*Propostas!L31)</f>
        <v/>
      </c>
      <c r="L24" s="7" t="str">
        <f>IF(Propostas!$C31="","",$L$4*Propostas!M31)</f>
        <v/>
      </c>
      <c r="M24" s="7" t="str">
        <f>IF(Propostas!$C31="","",$M$4*Propostas!N31)</f>
        <v/>
      </c>
      <c r="N24" s="7" t="str">
        <f>IF(Propostas!$C31="","",$N$4*Propostas!O31)</f>
        <v/>
      </c>
      <c r="O24" s="7" t="str">
        <f>IF(Propostas!$C31="","",$O$4*Propostas!P31)</f>
        <v/>
      </c>
      <c r="P24" s="7" t="str">
        <f>IF(Propostas!$C31="","",$P$4*Propostas!Q31)</f>
        <v/>
      </c>
      <c r="Q24" s="7" t="str">
        <f>IF(Propostas!$C31="","",$Q$4*Propostas!R31)</f>
        <v/>
      </c>
      <c r="R24" s="7" t="str">
        <f>IF(Propostas!$C31="","",$R$4*Propostas!S31)</f>
        <v/>
      </c>
      <c r="S24" s="7" t="str">
        <f>IF(Propostas!$C31="","",S$4*Parâmetros!$H24/Parâmetros!$H$4)</f>
        <v/>
      </c>
      <c r="T24" s="7" t="str">
        <f>IF(Propostas!$C31="","",T$4*Parâmetros!P24/Parâmetros!$P$4)</f>
        <v/>
      </c>
      <c r="U24" s="7" t="str">
        <f>IF(Propostas!$C31="","",U$4*Parâmetros!Q24/Parâmetros!$Q$4)</f>
        <v/>
      </c>
      <c r="V24" s="7" t="str">
        <f>IF(Propostas!$B31="","",SUM(C24:U24))</f>
        <v/>
      </c>
      <c r="W24" s="11" t="str">
        <f>IF(Propostas!$C31="","",RANK(V24,$V$5:$V$88,0))</f>
        <v/>
      </c>
    </row>
    <row r="25" spans="1:24" x14ac:dyDescent="0.35">
      <c r="A25" s="11" t="str">
        <f>IF(Propostas!$C32="","",W25)</f>
        <v/>
      </c>
      <c r="B25" s="1">
        <f>Propostas!A32</f>
        <v>0</v>
      </c>
      <c r="C25" s="7" t="str">
        <f>IF(Propostas!$C32="","",C$4*Parâmetros!$C$4/Parâmetros!C25)</f>
        <v/>
      </c>
      <c r="D25" s="7" t="str">
        <f>IF(Propostas!$C32="","",D$4*(Parâmetros!D25-1)/(COUNT(Parâmetros!$C$5:$C$108)-1))</f>
        <v/>
      </c>
      <c r="E25" s="7" t="str">
        <f>IF(Propostas!$C32="","",E$4*Parâmetros!E25/Parâmetros!$E$4)</f>
        <v/>
      </c>
      <c r="F25" s="7" t="str">
        <f>IF(Propostas!$C32="","",F$4*Parâmetros!F25)</f>
        <v/>
      </c>
      <c r="G25" s="7" t="str">
        <f>IF(Propostas!$C32="","",G$4*Parâmetros!G25)</f>
        <v/>
      </c>
      <c r="H25" s="7" t="str">
        <f>IF(Propostas!$C32="","",$H$4*Propostas!I32)</f>
        <v/>
      </c>
      <c r="I25" s="7" t="str">
        <f>IF(Propostas!$C32="","",$I$4*Propostas!J32)</f>
        <v/>
      </c>
      <c r="J25" s="7" t="str">
        <f>IF(Propostas!$C32="","",$J$4*Propostas!K32)</f>
        <v/>
      </c>
      <c r="K25" s="7" t="str">
        <f>IF(Propostas!$C32="","",$K$4*Propostas!L32)</f>
        <v/>
      </c>
      <c r="L25" s="7" t="str">
        <f>IF(Propostas!$C32="","",$L$4*Propostas!M32)</f>
        <v/>
      </c>
      <c r="M25" s="7" t="str">
        <f>IF(Propostas!$C32="","",$M$4*Propostas!N32)</f>
        <v/>
      </c>
      <c r="N25" s="7" t="str">
        <f>IF(Propostas!$C32="","",$N$4*Propostas!O32)</f>
        <v/>
      </c>
      <c r="O25" s="7" t="str">
        <f>IF(Propostas!$C32="","",$O$4*Propostas!P32)</f>
        <v/>
      </c>
      <c r="P25" s="7" t="str">
        <f>IF(Propostas!$C32="","",$P$4*Propostas!Q32)</f>
        <v/>
      </c>
      <c r="Q25" s="7" t="str">
        <f>IF(Propostas!$C32="","",$Q$4*Propostas!R32)</f>
        <v/>
      </c>
      <c r="R25" s="7" t="str">
        <f>IF(Propostas!$C32="","",$R$4*Propostas!S32)</f>
        <v/>
      </c>
      <c r="S25" s="7" t="str">
        <f>IF(Propostas!$C32="","",S$4*Parâmetros!$H25/Parâmetros!$H$4)</f>
        <v/>
      </c>
      <c r="T25" s="7" t="str">
        <f>IF(Propostas!$C32="","",T$4*Parâmetros!P25/Parâmetros!$P$4)</f>
        <v/>
      </c>
      <c r="U25" s="7" t="str">
        <f>IF(Propostas!$C32="","",U$4*Parâmetros!Q25/Parâmetros!$Q$4)</f>
        <v/>
      </c>
      <c r="V25" s="7" t="str">
        <f>IF(Propostas!$B32="","",SUM(C25:U25))</f>
        <v/>
      </c>
      <c r="W25" s="11" t="str">
        <f>IF(Propostas!$C32="","",RANK(V25,$V$5:$V$88,0))</f>
        <v/>
      </c>
    </row>
    <row r="26" spans="1:24" x14ac:dyDescent="0.35">
      <c r="A26" s="2" t="str">
        <f>IF(Propostas!$C33="","",W26)</f>
        <v/>
      </c>
      <c r="B26" s="2">
        <f>Propostas!A33</f>
        <v>0</v>
      </c>
      <c r="C26" s="2" t="str">
        <f>IF(Propostas!$C33="","",C$4*Parâmetros!$C$4/Parâmetros!C26)</f>
        <v/>
      </c>
      <c r="D26" s="2" t="str">
        <f>IF(Propostas!$C33="","",D$4*(Parâmetros!D26-1)/(COUNT(Parâmetros!$C$5:$C$108)-1))</f>
        <v/>
      </c>
      <c r="E26" s="2" t="str">
        <f>IF(Propostas!$C33="","",E$4*Parâmetros!E26/Parâmetros!$E$4)</f>
        <v/>
      </c>
      <c r="F26" s="2" t="str">
        <f>IF(Propostas!$C33="","",F$4*Parâmetros!F26)</f>
        <v/>
      </c>
      <c r="G26" s="2" t="str">
        <f>IF(Propostas!$C33="","",G$4*Parâmetros!G26)</f>
        <v/>
      </c>
      <c r="H26" s="2" t="str">
        <f>IF(Propostas!$C33="","",$H$4*Propostas!I33)</f>
        <v/>
      </c>
      <c r="I26" s="2" t="str">
        <f>IF(Propostas!$C33="","",$I$4*Propostas!J33)</f>
        <v/>
      </c>
      <c r="J26" s="2" t="str">
        <f>IF(Propostas!$C33="","",$J$4*Propostas!K33)</f>
        <v/>
      </c>
      <c r="K26" s="2" t="str">
        <f>IF(Propostas!$C33="","",$K$4*Propostas!L33)</f>
        <v/>
      </c>
      <c r="L26" s="2" t="str">
        <f>IF(Propostas!$C33="","",$L$4*Propostas!M33)</f>
        <v/>
      </c>
      <c r="M26" s="2" t="str">
        <f>IF(Propostas!$C33="","",$M$4*Propostas!N33)</f>
        <v/>
      </c>
      <c r="N26" s="2" t="str">
        <f>IF(Propostas!$C33="","",$N$4*Propostas!O33)</f>
        <v/>
      </c>
      <c r="O26" s="2" t="str">
        <f>IF(Propostas!$C33="","",$O$4*Propostas!P33)</f>
        <v/>
      </c>
      <c r="P26" s="2" t="str">
        <f>IF(Propostas!$C33="","",$P$4*Propostas!Q33)</f>
        <v/>
      </c>
      <c r="Q26" s="2" t="str">
        <f>IF(Propostas!$C33="","",$Q$4*Propostas!R33)</f>
        <v/>
      </c>
      <c r="R26" s="2" t="str">
        <f>IF(Propostas!$C33="","",$R$4*Propostas!S33)</f>
        <v/>
      </c>
      <c r="S26" s="2" t="str">
        <f>IF(Propostas!$C33="","",S$4*Parâmetros!$H26/Parâmetros!$H$4)</f>
        <v/>
      </c>
      <c r="T26" s="2" t="str">
        <f>IF(Propostas!$C33="","",T$4*Parâmetros!P26/Parâmetros!$P$4)</f>
        <v/>
      </c>
      <c r="U26" s="2" t="str">
        <f>IF(Propostas!$C33="","",U$4*Parâmetros!Q26/Parâmetros!$Q$4)</f>
        <v/>
      </c>
      <c r="V26" s="2" t="str">
        <f>IF(Propostas!$B33="","",SUM(C26:U26))</f>
        <v/>
      </c>
      <c r="W26" s="2" t="str">
        <f>IF(Propostas!$C33="","",RANK(V26,$V$5:$V$88,0))</f>
        <v/>
      </c>
    </row>
  </sheetData>
  <mergeCells count="5">
    <mergeCell ref="O1:R1"/>
    <mergeCell ref="C1:D1"/>
    <mergeCell ref="F1:G1"/>
    <mergeCell ref="H1:K1"/>
    <mergeCell ref="L1:N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 Uso Interno CPFL&amp;1#_x000D_</oddHeader>
  </headerFooter>
  <ignoredErrors>
    <ignoredError sqref="E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/>
  <dimension ref="A1:AA25"/>
  <sheetViews>
    <sheetView workbookViewId="0">
      <selection activeCell="F5" sqref="F5"/>
    </sheetView>
  </sheetViews>
  <sheetFormatPr defaultColWidth="9.1796875" defaultRowHeight="14.5" x14ac:dyDescent="0.35"/>
  <cols>
    <col min="1" max="24" width="9.1796875" style="2"/>
    <col min="25" max="25" width="11.7265625" style="2" bestFit="1" customWidth="1"/>
    <col min="26" max="26" width="9.1796875" style="2"/>
    <col min="27" max="27" width="19" style="2" bestFit="1" customWidth="1"/>
    <col min="28" max="16384" width="9.1796875" style="2"/>
  </cols>
  <sheetData>
    <row r="1" spans="1:27" s="34" customFormat="1" x14ac:dyDescent="0.35">
      <c r="C1" s="159" t="s">
        <v>1</v>
      </c>
      <c r="D1" s="159"/>
      <c r="E1" s="1" t="s">
        <v>2</v>
      </c>
      <c r="F1" s="159" t="s">
        <v>3</v>
      </c>
      <c r="G1" s="159"/>
      <c r="H1" s="159" t="s">
        <v>4</v>
      </c>
      <c r="I1" s="159"/>
      <c r="J1" s="159"/>
      <c r="K1" s="159"/>
      <c r="L1" s="159" t="s">
        <v>5</v>
      </c>
      <c r="M1" s="159"/>
      <c r="N1" s="159"/>
      <c r="O1" s="159" t="s">
        <v>6</v>
      </c>
      <c r="P1" s="159"/>
      <c r="Q1" s="159"/>
      <c r="R1" s="159"/>
      <c r="S1" s="1" t="s">
        <v>7</v>
      </c>
      <c r="T1" s="1" t="s">
        <v>35</v>
      </c>
      <c r="U1" s="1" t="s">
        <v>36</v>
      </c>
      <c r="V1" s="1"/>
      <c r="W1" s="1"/>
      <c r="X1" s="1"/>
      <c r="Y1" s="1"/>
      <c r="Z1" s="1"/>
      <c r="AA1" s="1"/>
    </row>
    <row r="2" spans="1:27" x14ac:dyDescent="0.35">
      <c r="B2" s="1"/>
      <c r="C2" s="6" t="s">
        <v>27</v>
      </c>
      <c r="D2" s="6" t="s">
        <v>28</v>
      </c>
      <c r="E2" s="6" t="s">
        <v>2</v>
      </c>
      <c r="F2" s="6" t="s">
        <v>92</v>
      </c>
      <c r="G2" s="6" t="s">
        <v>96</v>
      </c>
      <c r="H2" s="6" t="s">
        <v>86</v>
      </c>
      <c r="I2" s="6" t="s">
        <v>87</v>
      </c>
      <c r="J2" s="6" t="s">
        <v>88</v>
      </c>
      <c r="K2" s="6" t="s">
        <v>89</v>
      </c>
      <c r="L2" s="6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90</v>
      </c>
      <c r="S2" s="6" t="s">
        <v>7</v>
      </c>
      <c r="T2" s="6" t="s">
        <v>35</v>
      </c>
      <c r="U2" s="6" t="s">
        <v>36</v>
      </c>
      <c r="V2" s="6"/>
      <c r="W2" s="6"/>
      <c r="X2" s="6"/>
      <c r="Y2" s="6"/>
      <c r="Z2" s="6"/>
      <c r="AA2" s="6"/>
    </row>
    <row r="3" spans="1:27" s="8" customFormat="1" ht="91.5" thickBot="1" x14ac:dyDescent="0.4">
      <c r="A3" s="8" t="s">
        <v>52</v>
      </c>
      <c r="B3" s="9" t="s">
        <v>0</v>
      </c>
      <c r="C3" s="12" t="s">
        <v>38</v>
      </c>
      <c r="D3" s="12" t="s">
        <v>39</v>
      </c>
      <c r="E3" s="12" t="s">
        <v>40</v>
      </c>
      <c r="F3" s="12" t="s">
        <v>93</v>
      </c>
      <c r="G3" s="12" t="s">
        <v>94</v>
      </c>
      <c r="H3" s="12" t="s">
        <v>41</v>
      </c>
      <c r="I3" s="12" t="s">
        <v>9</v>
      </c>
      <c r="J3" s="12" t="s">
        <v>42</v>
      </c>
      <c r="K3" s="12" t="s">
        <v>51</v>
      </c>
      <c r="L3" s="12" t="s">
        <v>44</v>
      </c>
      <c r="M3" s="12" t="s">
        <v>45</v>
      </c>
      <c r="N3" s="12" t="s">
        <v>46</v>
      </c>
      <c r="O3" s="12" t="s">
        <v>80</v>
      </c>
      <c r="P3" s="12" t="s">
        <v>81</v>
      </c>
      <c r="Q3" s="12" t="s">
        <v>82</v>
      </c>
      <c r="R3" s="12" t="s">
        <v>83</v>
      </c>
      <c r="S3" s="12" t="s">
        <v>48</v>
      </c>
      <c r="T3" s="12" t="s">
        <v>97</v>
      </c>
      <c r="U3" s="12" t="s">
        <v>58</v>
      </c>
      <c r="V3" s="12" t="s">
        <v>50</v>
      </c>
      <c r="W3" s="12" t="s">
        <v>52</v>
      </c>
      <c r="X3" s="12" t="s">
        <v>102</v>
      </c>
      <c r="Y3" s="12" t="s">
        <v>130</v>
      </c>
      <c r="Z3" s="12" t="s">
        <v>53</v>
      </c>
      <c r="AA3" s="12" t="s">
        <v>131</v>
      </c>
    </row>
    <row r="4" spans="1:27" ht="15" thickBot="1" x14ac:dyDescent="0.4">
      <c r="B4" s="1" t="s">
        <v>49</v>
      </c>
      <c r="C4" s="6">
        <f>Pontuação!C4</f>
        <v>30</v>
      </c>
      <c r="D4" s="6">
        <f>Pontuação!D4</f>
        <v>10</v>
      </c>
      <c r="E4" s="6">
        <f>Pontuação!E4</f>
        <v>5</v>
      </c>
      <c r="F4" s="6">
        <f>Pontuação!F4</f>
        <v>6</v>
      </c>
      <c r="G4" s="6">
        <f>Pontuação!G4</f>
        <v>4</v>
      </c>
      <c r="H4" s="6">
        <f>Pontuação!H4</f>
        <v>1.6</v>
      </c>
      <c r="I4" s="6">
        <f>Pontuação!I4</f>
        <v>1.6</v>
      </c>
      <c r="J4" s="6">
        <f>Pontuação!J4</f>
        <v>1.6</v>
      </c>
      <c r="K4" s="6">
        <f>Pontuação!K4</f>
        <v>3.2</v>
      </c>
      <c r="L4" s="6">
        <f>Pontuação!L4</f>
        <v>0.5</v>
      </c>
      <c r="M4" s="6">
        <f>Pontuação!M4</f>
        <v>0.5</v>
      </c>
      <c r="N4" s="6">
        <f>Pontuação!N4</f>
        <v>1</v>
      </c>
      <c r="O4" s="6">
        <f>Pontuação!O4</f>
        <v>3</v>
      </c>
      <c r="P4" s="6">
        <f>Pontuação!P4</f>
        <v>3</v>
      </c>
      <c r="Q4" s="6">
        <f>Pontuação!Q4</f>
        <v>2</v>
      </c>
      <c r="R4" s="6">
        <f>Pontuação!R4</f>
        <v>2</v>
      </c>
      <c r="S4" s="6">
        <f>Pontuação!S4</f>
        <v>15</v>
      </c>
      <c r="T4" s="6">
        <f>Pontuação!T4</f>
        <v>5</v>
      </c>
      <c r="U4" s="6">
        <f>Pontuação!U4</f>
        <v>5</v>
      </c>
      <c r="V4" s="6">
        <f>SUM(C4:U4)</f>
        <v>100</v>
      </c>
      <c r="W4" s="6"/>
      <c r="X4" s="6"/>
      <c r="Y4" s="68">
        <f>18964000/1000</f>
        <v>18964</v>
      </c>
      <c r="Z4" s="6" t="s">
        <v>54</v>
      </c>
      <c r="AA4" s="15">
        <f>SUMIF(Z:Z,"S",X:X)</f>
        <v>0</v>
      </c>
    </row>
    <row r="5" spans="1:27" ht="26.5" thickBot="1" x14ac:dyDescent="0.4">
      <c r="A5" s="11" t="str">
        <f>IF(Propostas!$C12="","",ROW(1:1))</f>
        <v/>
      </c>
      <c r="B5" s="1" t="str">
        <f>IF(Propostas!$C12="","",VLOOKUP($A5,Pontuação!$A$5:$V$88,COLUMN(B:B),0))</f>
        <v/>
      </c>
      <c r="C5" s="7" t="str">
        <f>IF(Propostas!$C12="","",VLOOKUP($A5,Pontuação!$A$5:$V$88,COLUMN(C:C),0))</f>
        <v/>
      </c>
      <c r="D5" s="7" t="str">
        <f>IF(Propostas!$C12="","",VLOOKUP($A5,Pontuação!$A$5:$V$88,COLUMN(D:D),0))</f>
        <v/>
      </c>
      <c r="E5" s="7" t="str">
        <f>IF(Propostas!$C12="","",VLOOKUP($A5,Pontuação!$A$5:$V$88,COLUMN(E:E),0))</f>
        <v/>
      </c>
      <c r="F5" s="7" t="str">
        <f>IF(Propostas!$C12="","",VLOOKUP($A5,Pontuação!$A$5:$V$88,COLUMN(F:F),0))</f>
        <v/>
      </c>
      <c r="G5" s="7" t="str">
        <f>IF(Propostas!$C12="","",VLOOKUP($A5,Pontuação!$A$5:$V$88,COLUMN(G:G),0))</f>
        <v/>
      </c>
      <c r="H5" s="7" t="str">
        <f>IF(Propostas!$C12="","",VLOOKUP($A5,Pontuação!$A$5:$V$88,COLUMN(H:H),0))</f>
        <v/>
      </c>
      <c r="I5" s="7" t="str">
        <f>IF(Propostas!$C12="","",VLOOKUP($A5,Pontuação!$A$5:$V$88,COLUMN(I:I),0))</f>
        <v/>
      </c>
      <c r="J5" s="7" t="str">
        <f>IF(Propostas!$C12="","",VLOOKUP($A5,Pontuação!$A$5:$V$88,COLUMN(J:J),0))</f>
        <v/>
      </c>
      <c r="K5" s="7" t="str">
        <f>IF(Propostas!$C12="","",VLOOKUP($A5,Pontuação!$A$5:$V$88,COLUMN(K:K),0))</f>
        <v/>
      </c>
      <c r="L5" s="7" t="str">
        <f>IF(Propostas!$C12="","",VLOOKUP($A5,Pontuação!$A$5:$V$88,COLUMN(L:L),0))</f>
        <v/>
      </c>
      <c r="M5" s="7" t="str">
        <f>IF(Propostas!$C12="","",VLOOKUP($A5,Pontuação!$A$5:$V$88,COLUMN(M:M),0))</f>
        <v/>
      </c>
      <c r="N5" s="7" t="str">
        <f>IF(Propostas!$C12="","",VLOOKUP($A5,Pontuação!$A$5:$V$88,COLUMN(N:N),0))</f>
        <v/>
      </c>
      <c r="O5" s="7" t="str">
        <f>IF(Propostas!$C12="","",VLOOKUP($A5,Pontuação!$A$5:$V$88,COLUMN(O:O),0))</f>
        <v/>
      </c>
      <c r="P5" s="7" t="str">
        <f>IF(Propostas!$C12="","",VLOOKUP($A5,Pontuação!$A$5:$V$88,COLUMN(P:P),0))</f>
        <v/>
      </c>
      <c r="Q5" s="7" t="str">
        <f>IF(Propostas!$C12="","",VLOOKUP($A5,Pontuação!$A$5:$V$88,COLUMN(Q:Q),0))</f>
        <v/>
      </c>
      <c r="R5" s="7" t="str">
        <f>IF(Propostas!$C12="","",VLOOKUP($A5,Pontuação!$A$5:$V$88,COLUMN(R:R),0))</f>
        <v/>
      </c>
      <c r="S5" s="7" t="str">
        <f>IF(Propostas!$C12="","",VLOOKUP($A5,Pontuação!$A$5:$V$88,COLUMN(S:S),0))</f>
        <v/>
      </c>
      <c r="T5" s="7" t="str">
        <f>IF(Propostas!$C12="","",VLOOKUP($A5,Pontuação!$A$5:$V$88,COLUMN(T:T),0))</f>
        <v/>
      </c>
      <c r="U5" s="7" t="str">
        <f>IF(Propostas!$C12="","",VLOOKUP($A5,Pontuação!$A$5:$V$88,COLUMN(U:U),0))</f>
        <v/>
      </c>
      <c r="V5" s="7" t="str">
        <f>IF(Propostas!$B12="","",SUM(C5:U5))</f>
        <v/>
      </c>
      <c r="W5" s="11" t="str">
        <f>IF(Propostas!$C12="","",RANK(V5,$V$5:$V$90,0))</f>
        <v/>
      </c>
      <c r="X5" s="13" t="str">
        <f>IF(Propostas!$C12="","",VLOOKUP(B5,Propostas[],3,0))</f>
        <v/>
      </c>
      <c r="Y5" s="13" t="str">
        <f>IF(Propostas!$C12="","",Y4-X5)</f>
        <v/>
      </c>
      <c r="Z5" s="2" t="str">
        <f>IF(Propostas!$C12="","",IF(Y5&gt;0,"S","N"))</f>
        <v/>
      </c>
      <c r="AA5" s="12" t="s">
        <v>132</v>
      </c>
    </row>
    <row r="6" spans="1:27" ht="15" thickBot="1" x14ac:dyDescent="0.4">
      <c r="A6" s="11" t="str">
        <f>IF(Propostas!$C13="","",ROW(2:2))</f>
        <v/>
      </c>
      <c r="B6" s="1" t="str">
        <f>IF(Propostas!$C13="","",VLOOKUP($A6,Pontuação!$A$5:$V$88,COLUMN(B:B),0))</f>
        <v/>
      </c>
      <c r="C6" s="7" t="str">
        <f>IF(Propostas!$C13="","",VLOOKUP($A6,Pontuação!$A$5:$V$88,COLUMN(C:C),0))</f>
        <v/>
      </c>
      <c r="D6" s="7" t="str">
        <f>IF(Propostas!$C13="","",VLOOKUP($A6,Pontuação!$A$5:$V$88,COLUMN(D:D),0))</f>
        <v/>
      </c>
      <c r="E6" s="7" t="str">
        <f>IF(Propostas!$C13="","",VLOOKUP($A6,Pontuação!$A$5:$V$88,COLUMN(E:E),0))</f>
        <v/>
      </c>
      <c r="F6" s="7" t="str">
        <f>IF(Propostas!$C13="","",VLOOKUP($A6,Pontuação!$A$5:$V$88,COLUMN(F:F),0))</f>
        <v/>
      </c>
      <c r="G6" s="7" t="str">
        <f>IF(Propostas!$C13="","",VLOOKUP($A6,Pontuação!$A$5:$V$88,COLUMN(G:G),0))</f>
        <v/>
      </c>
      <c r="H6" s="7" t="str">
        <f>IF(Propostas!$C13="","",VLOOKUP($A6,Pontuação!$A$5:$V$88,COLUMN(H:H),0))</f>
        <v/>
      </c>
      <c r="I6" s="7" t="str">
        <f>IF(Propostas!$C13="","",VLOOKUP($A6,Pontuação!$A$5:$V$88,COLUMN(I:I),0))</f>
        <v/>
      </c>
      <c r="J6" s="7" t="str">
        <f>IF(Propostas!$C13="","",VLOOKUP($A6,Pontuação!$A$5:$V$88,COLUMN(J:J),0))</f>
        <v/>
      </c>
      <c r="K6" s="7" t="str">
        <f>IF(Propostas!$C13="","",VLOOKUP($A6,Pontuação!$A$5:$V$88,COLUMN(K:K),0))</f>
        <v/>
      </c>
      <c r="L6" s="7" t="str">
        <f>IF(Propostas!$C13="","",VLOOKUP($A6,Pontuação!$A$5:$V$88,COLUMN(L:L),0))</f>
        <v/>
      </c>
      <c r="M6" s="7" t="str">
        <f>IF(Propostas!$C13="","",VLOOKUP($A6,Pontuação!$A$5:$V$88,COLUMN(M:M),0))</f>
        <v/>
      </c>
      <c r="N6" s="7" t="str">
        <f>IF(Propostas!$C13="","",VLOOKUP($A6,Pontuação!$A$5:$V$88,COLUMN(N:N),0))</f>
        <v/>
      </c>
      <c r="O6" s="7" t="str">
        <f>IF(Propostas!$C13="","",VLOOKUP($A6,Pontuação!$A$5:$V$88,COLUMN(O:O),0))</f>
        <v/>
      </c>
      <c r="P6" s="7" t="str">
        <f>IF(Propostas!$C13="","",VLOOKUP($A6,Pontuação!$A$5:$V$88,COLUMN(P:P),0))</f>
        <v/>
      </c>
      <c r="Q6" s="7" t="str">
        <f>IF(Propostas!$C13="","",VLOOKUP($A6,Pontuação!$A$5:$V$88,COLUMN(Q:Q),0))</f>
        <v/>
      </c>
      <c r="R6" s="7" t="str">
        <f>IF(Propostas!$C13="","",VLOOKUP($A6,Pontuação!$A$5:$V$88,COLUMN(R:R),0))</f>
        <v/>
      </c>
      <c r="S6" s="7" t="str">
        <f>IF(Propostas!$C13="","",VLOOKUP($A6,Pontuação!$A$5:$V$88,COLUMN(S:S),0))</f>
        <v/>
      </c>
      <c r="T6" s="7" t="str">
        <f>IF(Propostas!$C13="","",VLOOKUP($A6,Pontuação!$A$5:$V$88,COLUMN(T:T),0))</f>
        <v/>
      </c>
      <c r="U6" s="7" t="str">
        <f>IF(Propostas!$C13="","",VLOOKUP($A6,Pontuação!$A$5:$V$88,COLUMN(U:U),0))</f>
        <v/>
      </c>
      <c r="V6" s="7" t="str">
        <f>IF(Propostas!$B13="","",SUM(C6:U6))</f>
        <v/>
      </c>
      <c r="W6" s="11" t="str">
        <f>IF(Propostas!$C13="","",RANK(V6,$V$5:$V$90,0))</f>
        <v/>
      </c>
      <c r="X6" s="13" t="str">
        <f>IF(Propostas!$C13="","",VLOOKUP(B6,Propostas[],3,0))</f>
        <v/>
      </c>
      <c r="Y6" s="13" t="str">
        <f>IF(Propostas!$C13="","",Y5-X6)</f>
        <v/>
      </c>
      <c r="Z6" s="2" t="str">
        <f>IF(Propostas!$C13="","",IF(Y6&gt;0,"S","N"))</f>
        <v/>
      </c>
      <c r="AA6" s="15">
        <f>Y4-AA4</f>
        <v>18964</v>
      </c>
    </row>
    <row r="7" spans="1:27" x14ac:dyDescent="0.35">
      <c r="A7" s="11" t="str">
        <f>IF(Propostas!$C14="","",ROW(3:3))</f>
        <v/>
      </c>
      <c r="B7" s="1" t="str">
        <f>IF(Propostas!$C14="","",VLOOKUP($A7,Pontuação!$A$5:$V$88,COLUMN(B:B),0))</f>
        <v/>
      </c>
      <c r="C7" s="7" t="str">
        <f>IF(Propostas!$C14="","",VLOOKUP($A7,Pontuação!$A$5:$V$88,COLUMN(C:C),0))</f>
        <v/>
      </c>
      <c r="D7" s="7" t="str">
        <f>IF(Propostas!$C14="","",VLOOKUP($A7,Pontuação!$A$5:$V$88,COLUMN(D:D),0))</f>
        <v/>
      </c>
      <c r="E7" s="7" t="str">
        <f>IF(Propostas!$C14="","",VLOOKUP($A7,Pontuação!$A$5:$V$88,COLUMN(E:E),0))</f>
        <v/>
      </c>
      <c r="F7" s="7" t="str">
        <f>IF(Propostas!$C14="","",VLOOKUP($A7,Pontuação!$A$5:$V$88,COLUMN(F:F),0))</f>
        <v/>
      </c>
      <c r="G7" s="7" t="str">
        <f>IF(Propostas!$C14="","",VLOOKUP($A7,Pontuação!$A$5:$V$88,COLUMN(G:G),0))</f>
        <v/>
      </c>
      <c r="H7" s="7" t="str">
        <f>IF(Propostas!$C14="","",VLOOKUP($A7,Pontuação!$A$5:$V$88,COLUMN(H:H),0))</f>
        <v/>
      </c>
      <c r="I7" s="7" t="str">
        <f>IF(Propostas!$C14="","",VLOOKUP($A7,Pontuação!$A$5:$V$88,COLUMN(I:I),0))</f>
        <v/>
      </c>
      <c r="J7" s="7" t="str">
        <f>IF(Propostas!$C14="","",VLOOKUP($A7,Pontuação!$A$5:$V$88,COLUMN(J:J),0))</f>
        <v/>
      </c>
      <c r="K7" s="7" t="str">
        <f>IF(Propostas!$C14="","",VLOOKUP($A7,Pontuação!$A$5:$V$88,COLUMN(K:K),0))</f>
        <v/>
      </c>
      <c r="L7" s="7" t="str">
        <f>IF(Propostas!$C14="","",VLOOKUP($A7,Pontuação!$A$5:$V$88,COLUMN(L:L),0))</f>
        <v/>
      </c>
      <c r="M7" s="7" t="str">
        <f>IF(Propostas!$C14="","",VLOOKUP($A7,Pontuação!$A$5:$V$88,COLUMN(M:M),0))</f>
        <v/>
      </c>
      <c r="N7" s="7" t="str">
        <f>IF(Propostas!$C14="","",VLOOKUP($A7,Pontuação!$A$5:$V$88,COLUMN(N:N),0))</f>
        <v/>
      </c>
      <c r="O7" s="7" t="str">
        <f>IF(Propostas!$C14="","",VLOOKUP($A7,Pontuação!$A$5:$V$88,COLUMN(O:O),0))</f>
        <v/>
      </c>
      <c r="P7" s="7" t="str">
        <f>IF(Propostas!$C14="","",VLOOKUP($A7,Pontuação!$A$5:$V$88,COLUMN(P:P),0))</f>
        <v/>
      </c>
      <c r="Q7" s="7" t="str">
        <f>IF(Propostas!$C14="","",VLOOKUP($A7,Pontuação!$A$5:$V$88,COLUMN(Q:Q),0))</f>
        <v/>
      </c>
      <c r="R7" s="7" t="str">
        <f>IF(Propostas!$C14="","",VLOOKUP($A7,Pontuação!$A$5:$V$88,COLUMN(R:R),0))</f>
        <v/>
      </c>
      <c r="S7" s="7" t="str">
        <f>IF(Propostas!$C14="","",VLOOKUP($A7,Pontuação!$A$5:$V$88,COLUMN(S:S),0))</f>
        <v/>
      </c>
      <c r="T7" s="7" t="str">
        <f>IF(Propostas!$C14="","",VLOOKUP($A7,Pontuação!$A$5:$V$88,COLUMN(T:T),0))</f>
        <v/>
      </c>
      <c r="U7" s="7" t="str">
        <f>IF(Propostas!$C14="","",VLOOKUP($A7,Pontuação!$A$5:$V$88,COLUMN(U:U),0))</f>
        <v/>
      </c>
      <c r="V7" s="7" t="str">
        <f>IF(Propostas!$B14="","",SUM(C7:U7))</f>
        <v/>
      </c>
      <c r="W7" s="11" t="str">
        <f>IF(Propostas!$C14="","",RANK(V7,$V$5:$V$90,0))</f>
        <v/>
      </c>
      <c r="X7" s="13" t="str">
        <f>IF(Propostas!$C14="","",VLOOKUP(B7,Propostas[],3,0))</f>
        <v/>
      </c>
      <c r="Y7" s="13" t="str">
        <f>IF(Propostas!$C14="","",Y6-X7)</f>
        <v/>
      </c>
      <c r="Z7" s="2" t="str">
        <f>IF(Propostas!$C14="","",IF(Y7&gt;0,"S","N"))</f>
        <v/>
      </c>
    </row>
    <row r="8" spans="1:27" x14ac:dyDescent="0.35">
      <c r="A8" s="11" t="str">
        <f>IF(Propostas!$C15="","",ROW(4:4))</f>
        <v/>
      </c>
      <c r="B8" s="1" t="str">
        <f>IF(Propostas!$C15="","",VLOOKUP($A8,Pontuação!$A$5:$V$88,COLUMN(B:B),0))</f>
        <v/>
      </c>
      <c r="C8" s="7" t="str">
        <f>IF(Propostas!$C15="","",VLOOKUP($A8,Pontuação!$A$5:$V$88,COLUMN(C:C),0))</f>
        <v/>
      </c>
      <c r="D8" s="7" t="str">
        <f>IF(Propostas!$C15="","",VLOOKUP($A8,Pontuação!$A$5:$V$88,COLUMN(D:D),0))</f>
        <v/>
      </c>
      <c r="E8" s="7" t="str">
        <f>IF(Propostas!$C15="","",VLOOKUP($A8,Pontuação!$A$5:$V$88,COLUMN(E:E),0))</f>
        <v/>
      </c>
      <c r="F8" s="7" t="str">
        <f>IF(Propostas!$C15="","",VLOOKUP($A8,Pontuação!$A$5:$V$88,COLUMN(F:F),0))</f>
        <v/>
      </c>
      <c r="G8" s="7" t="str">
        <f>IF(Propostas!$C15="","",VLOOKUP($A8,Pontuação!$A$5:$V$88,COLUMN(G:G),0))</f>
        <v/>
      </c>
      <c r="H8" s="7" t="str">
        <f>IF(Propostas!$C15="","",VLOOKUP($A8,Pontuação!$A$5:$V$88,COLUMN(H:H),0))</f>
        <v/>
      </c>
      <c r="I8" s="7" t="str">
        <f>IF(Propostas!$C15="","",VLOOKUP($A8,Pontuação!$A$5:$V$88,COLUMN(I:I),0))</f>
        <v/>
      </c>
      <c r="J8" s="7" t="str">
        <f>IF(Propostas!$C15="","",VLOOKUP($A8,Pontuação!$A$5:$V$88,COLUMN(J:J),0))</f>
        <v/>
      </c>
      <c r="K8" s="7" t="str">
        <f>IF(Propostas!$C15="","",VLOOKUP($A8,Pontuação!$A$5:$V$88,COLUMN(K:K),0))</f>
        <v/>
      </c>
      <c r="L8" s="7" t="str">
        <f>IF(Propostas!$C15="","",VLOOKUP($A8,Pontuação!$A$5:$V$88,COLUMN(L:L),0))</f>
        <v/>
      </c>
      <c r="M8" s="7" t="str">
        <f>IF(Propostas!$C15="","",VLOOKUP($A8,Pontuação!$A$5:$V$88,COLUMN(M:M),0))</f>
        <v/>
      </c>
      <c r="N8" s="7" t="str">
        <f>IF(Propostas!$C15="","",VLOOKUP($A8,Pontuação!$A$5:$V$88,COLUMN(N:N),0))</f>
        <v/>
      </c>
      <c r="O8" s="7" t="str">
        <f>IF(Propostas!$C15="","",VLOOKUP($A8,Pontuação!$A$5:$V$88,COLUMN(O:O),0))</f>
        <v/>
      </c>
      <c r="P8" s="7" t="str">
        <f>IF(Propostas!$C15="","",VLOOKUP($A8,Pontuação!$A$5:$V$88,COLUMN(P:P),0))</f>
        <v/>
      </c>
      <c r="Q8" s="7" t="str">
        <f>IF(Propostas!$C15="","",VLOOKUP($A8,Pontuação!$A$5:$V$88,COLUMN(Q:Q),0))</f>
        <v/>
      </c>
      <c r="R8" s="7" t="str">
        <f>IF(Propostas!$C15="","",VLOOKUP($A8,Pontuação!$A$5:$V$88,COLUMN(R:R),0))</f>
        <v/>
      </c>
      <c r="S8" s="7" t="str">
        <f>IF(Propostas!$C15="","",VLOOKUP($A8,Pontuação!$A$5:$V$88,COLUMN(S:S),0))</f>
        <v/>
      </c>
      <c r="T8" s="7" t="str">
        <f>IF(Propostas!$C15="","",VLOOKUP($A8,Pontuação!$A$5:$V$88,COLUMN(T:T),0))</f>
        <v/>
      </c>
      <c r="U8" s="7" t="str">
        <f>IF(Propostas!$C15="","",VLOOKUP($A8,Pontuação!$A$5:$V$88,COLUMN(U:U),0))</f>
        <v/>
      </c>
      <c r="V8" s="7" t="str">
        <f>IF(Propostas!$B15="","",SUM(C8:U8))</f>
        <v/>
      </c>
      <c r="W8" s="11" t="str">
        <f>IF(Propostas!$C15="","",RANK(V8,$V$5:$V$90,0))</f>
        <v/>
      </c>
      <c r="X8" s="13" t="str">
        <f>IF(Propostas!$C15="","",VLOOKUP(B8,Propostas[],3,0))</f>
        <v/>
      </c>
      <c r="Y8" s="13" t="str">
        <f>IF(Propostas!$C15="","",Y7-X8)</f>
        <v/>
      </c>
      <c r="Z8" s="2" t="str">
        <f>IF(Propostas!$C15="","",IF(Y8&gt;0,"S","N"))</f>
        <v/>
      </c>
    </row>
    <row r="9" spans="1:27" x14ac:dyDescent="0.35">
      <c r="A9" s="11" t="str">
        <f>IF(Propostas!$C16="","",ROW(5:5))</f>
        <v/>
      </c>
      <c r="B9" s="1" t="str">
        <f>IF(Propostas!$C16="","",VLOOKUP($A9,Pontuação!$A$5:$V$88,COLUMN(B:B),0))</f>
        <v/>
      </c>
      <c r="C9" s="7" t="str">
        <f>IF(Propostas!$C16="","",VLOOKUP($A9,Pontuação!$A$5:$V$88,COLUMN(C:C),0))</f>
        <v/>
      </c>
      <c r="D9" s="7" t="str">
        <f>IF(Propostas!$C16="","",VLOOKUP($A9,Pontuação!$A$5:$V$88,COLUMN(D:D),0))</f>
        <v/>
      </c>
      <c r="E9" s="7" t="str">
        <f>IF(Propostas!$C16="","",VLOOKUP($A9,Pontuação!$A$5:$V$88,COLUMN(E:E),0))</f>
        <v/>
      </c>
      <c r="F9" s="7" t="str">
        <f>IF(Propostas!$C16="","",VLOOKUP($A9,Pontuação!$A$5:$V$88,COLUMN(F:F),0))</f>
        <v/>
      </c>
      <c r="G9" s="7" t="str">
        <f>IF(Propostas!$C16="","",VLOOKUP($A9,Pontuação!$A$5:$V$88,COLUMN(G:G),0))</f>
        <v/>
      </c>
      <c r="H9" s="7" t="str">
        <f>IF(Propostas!$C16="","",VLOOKUP($A9,Pontuação!$A$5:$V$88,COLUMN(H:H),0))</f>
        <v/>
      </c>
      <c r="I9" s="7" t="str">
        <f>IF(Propostas!$C16="","",VLOOKUP($A9,Pontuação!$A$5:$V$88,COLUMN(I:I),0))</f>
        <v/>
      </c>
      <c r="J9" s="7" t="str">
        <f>IF(Propostas!$C16="","",VLOOKUP($A9,Pontuação!$A$5:$V$88,COLUMN(J:J),0))</f>
        <v/>
      </c>
      <c r="K9" s="7" t="str">
        <f>IF(Propostas!$C16="","",VLOOKUP($A9,Pontuação!$A$5:$V$88,COLUMN(K:K),0))</f>
        <v/>
      </c>
      <c r="L9" s="7" t="str">
        <f>IF(Propostas!$C16="","",VLOOKUP($A9,Pontuação!$A$5:$V$88,COLUMN(L:L),0))</f>
        <v/>
      </c>
      <c r="M9" s="7" t="str">
        <f>IF(Propostas!$C16="","",VLOOKUP($A9,Pontuação!$A$5:$V$88,COLUMN(M:M),0))</f>
        <v/>
      </c>
      <c r="N9" s="7" t="str">
        <f>IF(Propostas!$C16="","",VLOOKUP($A9,Pontuação!$A$5:$V$88,COLUMN(N:N),0))</f>
        <v/>
      </c>
      <c r="O9" s="7" t="str">
        <f>IF(Propostas!$C16="","",VLOOKUP($A9,Pontuação!$A$5:$V$88,COLUMN(O:O),0))</f>
        <v/>
      </c>
      <c r="P9" s="7" t="str">
        <f>IF(Propostas!$C16="","",VLOOKUP($A9,Pontuação!$A$5:$V$88,COLUMN(P:P),0))</f>
        <v/>
      </c>
      <c r="Q9" s="7" t="str">
        <f>IF(Propostas!$C16="","",VLOOKUP($A9,Pontuação!$A$5:$V$88,COLUMN(Q:Q),0))</f>
        <v/>
      </c>
      <c r="R9" s="7" t="str">
        <f>IF(Propostas!$C16="","",VLOOKUP($A9,Pontuação!$A$5:$V$88,COLUMN(R:R),0))</f>
        <v/>
      </c>
      <c r="S9" s="7" t="str">
        <f>IF(Propostas!$C16="","",VLOOKUP($A9,Pontuação!$A$5:$V$88,COLUMN(S:S),0))</f>
        <v/>
      </c>
      <c r="T9" s="7" t="str">
        <f>IF(Propostas!$C16="","",VLOOKUP($A9,Pontuação!$A$5:$V$88,COLUMN(T:T),0))</f>
        <v/>
      </c>
      <c r="U9" s="7" t="str">
        <f>IF(Propostas!$C16="","",VLOOKUP($A9,Pontuação!$A$5:$V$88,COLUMN(U:U),0))</f>
        <v/>
      </c>
      <c r="V9" s="7" t="str">
        <f>IF(Propostas!$B16="","",SUM(C9:U9))</f>
        <v/>
      </c>
      <c r="W9" s="11" t="str">
        <f>IF(Propostas!$C16="","",RANK(V9,$V$5:$V$90,0))</f>
        <v/>
      </c>
      <c r="X9" s="13" t="str">
        <f>IF(Propostas!$C16="","",VLOOKUP(B9,Propostas[],3,0))</f>
        <v/>
      </c>
      <c r="Y9" s="13" t="str">
        <f>IF(Propostas!$C16="","",Y8-X9)</f>
        <v/>
      </c>
      <c r="Z9" s="2" t="str">
        <f>IF(Propostas!$C16="","",IF(Y9&gt;0,"S","N"))</f>
        <v/>
      </c>
    </row>
    <row r="10" spans="1:27" x14ac:dyDescent="0.35">
      <c r="A10" s="11" t="str">
        <f>IF(Propostas!$C17="","",ROW(6:6))</f>
        <v/>
      </c>
      <c r="B10" s="1" t="str">
        <f>IF(Propostas!$C17="","",VLOOKUP($A10,Pontuação!$A$5:$V$88,COLUMN(B:B),0))</f>
        <v/>
      </c>
      <c r="C10" s="7" t="str">
        <f>IF(Propostas!$C17="","",VLOOKUP($A10,Pontuação!$A$5:$V$88,COLUMN(C:C),0))</f>
        <v/>
      </c>
      <c r="D10" s="7" t="str">
        <f>IF(Propostas!$C17="","",VLOOKUP($A10,Pontuação!$A$5:$V$88,COLUMN(D:D),0))</f>
        <v/>
      </c>
      <c r="E10" s="7" t="str">
        <f>IF(Propostas!$C17="","",VLOOKUP($A10,Pontuação!$A$5:$V$88,COLUMN(E:E),0))</f>
        <v/>
      </c>
      <c r="F10" s="7" t="str">
        <f>IF(Propostas!$C17="","",VLOOKUP($A10,Pontuação!$A$5:$V$88,COLUMN(F:F),0))</f>
        <v/>
      </c>
      <c r="G10" s="7" t="str">
        <f>IF(Propostas!$C17="","",VLOOKUP($A10,Pontuação!$A$5:$V$88,COLUMN(G:G),0))</f>
        <v/>
      </c>
      <c r="H10" s="7" t="str">
        <f>IF(Propostas!$C17="","",VLOOKUP($A10,Pontuação!$A$5:$V$88,COLUMN(H:H),0))</f>
        <v/>
      </c>
      <c r="I10" s="7" t="str">
        <f>IF(Propostas!$C17="","",VLOOKUP($A10,Pontuação!$A$5:$V$88,COLUMN(I:I),0))</f>
        <v/>
      </c>
      <c r="J10" s="7" t="str">
        <f>IF(Propostas!$C17="","",VLOOKUP($A10,Pontuação!$A$5:$V$88,COLUMN(J:J),0))</f>
        <v/>
      </c>
      <c r="K10" s="7" t="str">
        <f>IF(Propostas!$C17="","",VLOOKUP($A10,Pontuação!$A$5:$V$88,COLUMN(K:K),0))</f>
        <v/>
      </c>
      <c r="L10" s="7" t="str">
        <f>IF(Propostas!$C17="","",VLOOKUP($A10,Pontuação!$A$5:$V$88,COLUMN(L:L),0))</f>
        <v/>
      </c>
      <c r="M10" s="7" t="str">
        <f>IF(Propostas!$C17="","",VLOOKUP($A10,Pontuação!$A$5:$V$88,COLUMN(M:M),0))</f>
        <v/>
      </c>
      <c r="N10" s="7" t="str">
        <f>IF(Propostas!$C17="","",VLOOKUP($A10,Pontuação!$A$5:$V$88,COLUMN(N:N),0))</f>
        <v/>
      </c>
      <c r="O10" s="7" t="str">
        <f>IF(Propostas!$C17="","",VLOOKUP($A10,Pontuação!$A$5:$V$88,COLUMN(O:O),0))</f>
        <v/>
      </c>
      <c r="P10" s="7" t="str">
        <f>IF(Propostas!$C17="","",VLOOKUP($A10,Pontuação!$A$5:$V$88,COLUMN(P:P),0))</f>
        <v/>
      </c>
      <c r="Q10" s="7" t="str">
        <f>IF(Propostas!$C17="","",VLOOKUP($A10,Pontuação!$A$5:$V$88,COLUMN(Q:Q),0))</f>
        <v/>
      </c>
      <c r="R10" s="7" t="str">
        <f>IF(Propostas!$C17="","",VLOOKUP($A10,Pontuação!$A$5:$V$88,COLUMN(R:R),0))</f>
        <v/>
      </c>
      <c r="S10" s="7" t="str">
        <f>IF(Propostas!$C17="","",VLOOKUP($A10,Pontuação!$A$5:$V$88,COLUMN(S:S),0))</f>
        <v/>
      </c>
      <c r="T10" s="7" t="str">
        <f>IF(Propostas!$C17="","",VLOOKUP($A10,Pontuação!$A$5:$V$88,COLUMN(T:T),0))</f>
        <v/>
      </c>
      <c r="U10" s="7" t="str">
        <f>IF(Propostas!$C17="","",VLOOKUP($A10,Pontuação!$A$5:$V$88,COLUMN(U:U),0))</f>
        <v/>
      </c>
      <c r="V10" s="7" t="str">
        <f>IF(Propostas!$B17="","",SUM(C10:U10))</f>
        <v/>
      </c>
      <c r="W10" s="11" t="str">
        <f>IF(Propostas!$C17="","",RANK(V10,$V$5:$V$90,0))</f>
        <v/>
      </c>
      <c r="X10" s="13" t="str">
        <f>IF(Propostas!$C17="","",VLOOKUP(B10,Propostas[],3,0))</f>
        <v/>
      </c>
      <c r="Y10" s="13" t="str">
        <f>IF(Propostas!$C17="","",Y9-X10)</f>
        <v/>
      </c>
      <c r="Z10" s="2" t="str">
        <f>IF(Propostas!$C17="","",IF(Y10&gt;0,"S","N"))</f>
        <v/>
      </c>
    </row>
    <row r="11" spans="1:27" x14ac:dyDescent="0.35">
      <c r="A11" s="11" t="str">
        <f>IF(Propostas!$C18="","",ROW(7:7))</f>
        <v/>
      </c>
      <c r="B11" s="1" t="str">
        <f>IF(Propostas!$C18="","",VLOOKUP($A11,Pontuação!$A$5:$V$88,COLUMN(B:B),0))</f>
        <v/>
      </c>
      <c r="C11" s="7" t="str">
        <f>IF(Propostas!$C18="","",VLOOKUP($A11,Pontuação!$A$5:$V$88,COLUMN(C:C),0))</f>
        <v/>
      </c>
      <c r="D11" s="7" t="str">
        <f>IF(Propostas!$C18="","",VLOOKUP($A11,Pontuação!$A$5:$V$88,COLUMN(D:D),0))</f>
        <v/>
      </c>
      <c r="E11" s="7" t="str">
        <f>IF(Propostas!$C18="","",VLOOKUP($A11,Pontuação!$A$5:$V$88,COLUMN(E:E),0))</f>
        <v/>
      </c>
      <c r="F11" s="7" t="str">
        <f>IF(Propostas!$C18="","",VLOOKUP($A11,Pontuação!$A$5:$V$88,COLUMN(F:F),0))</f>
        <v/>
      </c>
      <c r="G11" s="7" t="str">
        <f>IF(Propostas!$C18="","",VLOOKUP($A11,Pontuação!$A$5:$V$88,COLUMN(G:G),0))</f>
        <v/>
      </c>
      <c r="H11" s="7" t="str">
        <f>IF(Propostas!$C18="","",VLOOKUP($A11,Pontuação!$A$5:$V$88,COLUMN(H:H),0))</f>
        <v/>
      </c>
      <c r="I11" s="7" t="str">
        <f>IF(Propostas!$C18="","",VLOOKUP($A11,Pontuação!$A$5:$V$88,COLUMN(I:I),0))</f>
        <v/>
      </c>
      <c r="J11" s="7" t="str">
        <f>IF(Propostas!$C18="","",VLOOKUP($A11,Pontuação!$A$5:$V$88,COLUMN(J:J),0))</f>
        <v/>
      </c>
      <c r="K11" s="7" t="str">
        <f>IF(Propostas!$C18="","",VLOOKUP($A11,Pontuação!$A$5:$V$88,COLUMN(K:K),0))</f>
        <v/>
      </c>
      <c r="L11" s="7" t="str">
        <f>IF(Propostas!$C18="","",VLOOKUP($A11,Pontuação!$A$5:$V$88,COLUMN(L:L),0))</f>
        <v/>
      </c>
      <c r="M11" s="7" t="str">
        <f>IF(Propostas!$C18="","",VLOOKUP($A11,Pontuação!$A$5:$V$88,COLUMN(M:M),0))</f>
        <v/>
      </c>
      <c r="N11" s="7" t="str">
        <f>IF(Propostas!$C18="","",VLOOKUP($A11,Pontuação!$A$5:$V$88,COLUMN(N:N),0))</f>
        <v/>
      </c>
      <c r="O11" s="7" t="str">
        <f>IF(Propostas!$C18="","",VLOOKUP($A11,Pontuação!$A$5:$V$88,COLUMN(O:O),0))</f>
        <v/>
      </c>
      <c r="P11" s="7" t="str">
        <f>IF(Propostas!$C18="","",VLOOKUP($A11,Pontuação!$A$5:$V$88,COLUMN(P:P),0))</f>
        <v/>
      </c>
      <c r="Q11" s="7" t="str">
        <f>IF(Propostas!$C18="","",VLOOKUP($A11,Pontuação!$A$5:$V$88,COLUMN(Q:Q),0))</f>
        <v/>
      </c>
      <c r="R11" s="7" t="str">
        <f>IF(Propostas!$C18="","",VLOOKUP($A11,Pontuação!$A$5:$V$88,COLUMN(R:R),0))</f>
        <v/>
      </c>
      <c r="S11" s="7" t="str">
        <f>IF(Propostas!$C18="","",VLOOKUP($A11,Pontuação!$A$5:$V$88,COLUMN(S:S),0))</f>
        <v/>
      </c>
      <c r="T11" s="7" t="str">
        <f>IF(Propostas!$C18="","",VLOOKUP($A11,Pontuação!$A$5:$V$88,COLUMN(T:T),0))</f>
        <v/>
      </c>
      <c r="U11" s="7" t="str">
        <f>IF(Propostas!$C18="","",VLOOKUP($A11,Pontuação!$A$5:$V$88,COLUMN(U:U),0))</f>
        <v/>
      </c>
      <c r="V11" s="7" t="str">
        <f>IF(Propostas!$B18="","",SUM(C11:U11))</f>
        <v/>
      </c>
      <c r="W11" s="11" t="str">
        <f>IF(Propostas!$C18="","",RANK(V11,$V$5:$V$90,0))</f>
        <v/>
      </c>
      <c r="X11" s="13" t="str">
        <f>IF(Propostas!$C18="","",VLOOKUP(B11,Propostas[],3,0))</f>
        <v/>
      </c>
      <c r="Y11" s="13" t="str">
        <f>IF(Propostas!$C18="","",Y10-X11)</f>
        <v/>
      </c>
      <c r="Z11" s="2" t="str">
        <f>IF(Propostas!$C18="","",IF(Y11&gt;0,"S","N"))</f>
        <v/>
      </c>
    </row>
    <row r="12" spans="1:27" x14ac:dyDescent="0.35">
      <c r="A12" s="11" t="str">
        <f>IF(Propostas!$C19="","",ROW(8:8))</f>
        <v/>
      </c>
      <c r="B12" s="1" t="str">
        <f>IF(Propostas!$C19="","",VLOOKUP($A12,Pontuação!$A$5:$V$88,COLUMN(B:B),0))</f>
        <v/>
      </c>
      <c r="C12" s="7" t="str">
        <f>IF(Propostas!$C19="","",VLOOKUP($A12,Pontuação!$A$5:$V$88,COLUMN(C:C),0))</f>
        <v/>
      </c>
      <c r="D12" s="7" t="str">
        <f>IF(Propostas!$C19="","",VLOOKUP($A12,Pontuação!$A$5:$V$88,COLUMN(D:D),0))</f>
        <v/>
      </c>
      <c r="E12" s="7" t="str">
        <f>IF(Propostas!$C19="","",VLOOKUP($A12,Pontuação!$A$5:$V$88,COLUMN(E:E),0))</f>
        <v/>
      </c>
      <c r="F12" s="7" t="str">
        <f>IF(Propostas!$C19="","",VLOOKUP($A12,Pontuação!$A$5:$V$88,COLUMN(F:F),0))</f>
        <v/>
      </c>
      <c r="G12" s="7" t="str">
        <f>IF(Propostas!$C19="","",VLOOKUP($A12,Pontuação!$A$5:$V$88,COLUMN(G:G),0))</f>
        <v/>
      </c>
      <c r="H12" s="7" t="str">
        <f>IF(Propostas!$C19="","",VLOOKUP($A12,Pontuação!$A$5:$V$88,COLUMN(H:H),0))</f>
        <v/>
      </c>
      <c r="I12" s="7" t="str">
        <f>IF(Propostas!$C19="","",VLOOKUP($A12,Pontuação!$A$5:$V$88,COLUMN(I:I),0))</f>
        <v/>
      </c>
      <c r="J12" s="7" t="str">
        <f>IF(Propostas!$C19="","",VLOOKUP($A12,Pontuação!$A$5:$V$88,COLUMN(J:J),0))</f>
        <v/>
      </c>
      <c r="K12" s="7" t="str">
        <f>IF(Propostas!$C19="","",VLOOKUP($A12,Pontuação!$A$5:$V$88,COLUMN(K:K),0))</f>
        <v/>
      </c>
      <c r="L12" s="7" t="str">
        <f>IF(Propostas!$C19="","",VLOOKUP($A12,Pontuação!$A$5:$V$88,COLUMN(L:L),0))</f>
        <v/>
      </c>
      <c r="M12" s="7" t="str">
        <f>IF(Propostas!$C19="","",VLOOKUP($A12,Pontuação!$A$5:$V$88,COLUMN(M:M),0))</f>
        <v/>
      </c>
      <c r="N12" s="7" t="str">
        <f>IF(Propostas!$C19="","",VLOOKUP($A12,Pontuação!$A$5:$V$88,COLUMN(N:N),0))</f>
        <v/>
      </c>
      <c r="O12" s="7" t="str">
        <f>IF(Propostas!$C19="","",VLOOKUP($A12,Pontuação!$A$5:$V$88,COLUMN(O:O),0))</f>
        <v/>
      </c>
      <c r="P12" s="7" t="str">
        <f>IF(Propostas!$C19="","",VLOOKUP($A12,Pontuação!$A$5:$V$88,COLUMN(P:P),0))</f>
        <v/>
      </c>
      <c r="Q12" s="7" t="str">
        <f>IF(Propostas!$C19="","",VLOOKUP($A12,Pontuação!$A$5:$V$88,COLUMN(Q:Q),0))</f>
        <v/>
      </c>
      <c r="R12" s="7" t="str">
        <f>IF(Propostas!$C19="","",VLOOKUP($A12,Pontuação!$A$5:$V$88,COLUMN(R:R),0))</f>
        <v/>
      </c>
      <c r="S12" s="7" t="str">
        <f>IF(Propostas!$C19="","",VLOOKUP($A12,Pontuação!$A$5:$V$88,COLUMN(S:S),0))</f>
        <v/>
      </c>
      <c r="T12" s="7" t="str">
        <f>IF(Propostas!$C19="","",VLOOKUP($A12,Pontuação!$A$5:$V$88,COLUMN(T:T),0))</f>
        <v/>
      </c>
      <c r="U12" s="7" t="str">
        <f>IF(Propostas!$C19="","",VLOOKUP($A12,Pontuação!$A$5:$V$88,COLUMN(U:U),0))</f>
        <v/>
      </c>
      <c r="V12" s="7" t="str">
        <f>IF(Propostas!$B19="","",SUM(C12:U12))</f>
        <v/>
      </c>
      <c r="W12" s="11" t="str">
        <f>IF(Propostas!$C19="","",RANK(V12,$V$5:$V$90,0))</f>
        <v/>
      </c>
      <c r="X12" s="13" t="str">
        <f>IF(Propostas!$C19="","",VLOOKUP(B12,Propostas[],3,0))</f>
        <v/>
      </c>
      <c r="Y12" s="13" t="str">
        <f>IF(Propostas!$C19="","",Y11-X12)</f>
        <v/>
      </c>
      <c r="Z12" s="2" t="str">
        <f>IF(Propostas!$C19="","",IF(Y12&gt;0,"S","N"))</f>
        <v/>
      </c>
    </row>
    <row r="13" spans="1:27" x14ac:dyDescent="0.35">
      <c r="A13" s="11" t="str">
        <f>IF(Propostas!$C20="","",ROW(9:9))</f>
        <v/>
      </c>
      <c r="B13" s="1" t="str">
        <f>IF(Propostas!$C20="","",VLOOKUP($A13,Pontuação!$A$5:$V$88,COLUMN(B:B),0))</f>
        <v/>
      </c>
      <c r="C13" s="7" t="str">
        <f>IF(Propostas!$C20="","",VLOOKUP($A13,Pontuação!$A$5:$V$88,COLUMN(C:C),0))</f>
        <v/>
      </c>
      <c r="D13" s="7" t="str">
        <f>IF(Propostas!$C20="","",VLOOKUP($A13,Pontuação!$A$5:$V$88,COLUMN(D:D),0))</f>
        <v/>
      </c>
      <c r="E13" s="7" t="str">
        <f>IF(Propostas!$C20="","",VLOOKUP($A13,Pontuação!$A$5:$V$88,COLUMN(E:E),0))</f>
        <v/>
      </c>
      <c r="F13" s="7" t="str">
        <f>IF(Propostas!$C20="","",VLOOKUP($A13,Pontuação!$A$5:$V$88,COLUMN(F:F),0))</f>
        <v/>
      </c>
      <c r="G13" s="7" t="str">
        <f>IF(Propostas!$C20="","",VLOOKUP($A13,Pontuação!$A$5:$V$88,COLUMN(G:G),0))</f>
        <v/>
      </c>
      <c r="H13" s="7" t="str">
        <f>IF(Propostas!$C20="","",VLOOKUP($A13,Pontuação!$A$5:$V$88,COLUMN(H:H),0))</f>
        <v/>
      </c>
      <c r="I13" s="7" t="str">
        <f>IF(Propostas!$C20="","",VLOOKUP($A13,Pontuação!$A$5:$V$88,COLUMN(I:I),0))</f>
        <v/>
      </c>
      <c r="J13" s="7" t="str">
        <f>IF(Propostas!$C20="","",VLOOKUP($A13,Pontuação!$A$5:$V$88,COLUMN(J:J),0))</f>
        <v/>
      </c>
      <c r="K13" s="7" t="str">
        <f>IF(Propostas!$C20="","",VLOOKUP($A13,Pontuação!$A$5:$V$88,COLUMN(K:K),0))</f>
        <v/>
      </c>
      <c r="L13" s="7" t="str">
        <f>IF(Propostas!$C20="","",VLOOKUP($A13,Pontuação!$A$5:$V$88,COLUMN(L:L),0))</f>
        <v/>
      </c>
      <c r="M13" s="7" t="str">
        <f>IF(Propostas!$C20="","",VLOOKUP($A13,Pontuação!$A$5:$V$88,COLUMN(M:M),0))</f>
        <v/>
      </c>
      <c r="N13" s="7" t="str">
        <f>IF(Propostas!$C20="","",VLOOKUP($A13,Pontuação!$A$5:$V$88,COLUMN(N:N),0))</f>
        <v/>
      </c>
      <c r="O13" s="7" t="str">
        <f>IF(Propostas!$C20="","",VLOOKUP($A13,Pontuação!$A$5:$V$88,COLUMN(O:O),0))</f>
        <v/>
      </c>
      <c r="P13" s="7" t="str">
        <f>IF(Propostas!$C20="","",VLOOKUP($A13,Pontuação!$A$5:$V$88,COLUMN(P:P),0))</f>
        <v/>
      </c>
      <c r="Q13" s="7" t="str">
        <f>IF(Propostas!$C20="","",VLOOKUP($A13,Pontuação!$A$5:$V$88,COLUMN(Q:Q),0))</f>
        <v/>
      </c>
      <c r="R13" s="7" t="str">
        <f>IF(Propostas!$C20="","",VLOOKUP($A13,Pontuação!$A$5:$V$88,COLUMN(R:R),0))</f>
        <v/>
      </c>
      <c r="S13" s="7" t="str">
        <f>IF(Propostas!$C20="","",VLOOKUP($A13,Pontuação!$A$5:$V$88,COLUMN(S:S),0))</f>
        <v/>
      </c>
      <c r="T13" s="7" t="str">
        <f>IF(Propostas!$C20="","",VLOOKUP($A13,Pontuação!$A$5:$V$88,COLUMN(T:T),0))</f>
        <v/>
      </c>
      <c r="U13" s="7" t="str">
        <f>IF(Propostas!$C20="","",VLOOKUP($A13,Pontuação!$A$5:$V$88,COLUMN(U:U),0))</f>
        <v/>
      </c>
      <c r="V13" s="7" t="str">
        <f>IF(Propostas!$B20="","",SUM(C13:U13))</f>
        <v/>
      </c>
      <c r="W13" s="11" t="str">
        <f>IF(Propostas!$C20="","",RANK(V13,$V$5:$V$90,0))</f>
        <v/>
      </c>
      <c r="X13" s="13" t="str">
        <f>IF(Propostas!$C20="","",VLOOKUP(B13,Propostas[],3,0))</f>
        <v/>
      </c>
      <c r="Y13" s="13" t="str">
        <f>IF(Propostas!$C20="","",Y12-X13)</f>
        <v/>
      </c>
      <c r="Z13" s="2" t="str">
        <f>IF(Propostas!$C20="","",IF(Y13&gt;0,"S","N"))</f>
        <v/>
      </c>
    </row>
    <row r="14" spans="1:27" x14ac:dyDescent="0.35">
      <c r="A14" s="11" t="str">
        <f>IF(Propostas!$C21="","",ROW(10:10))</f>
        <v/>
      </c>
      <c r="B14" s="1" t="str">
        <f>IF(Propostas!$C21="","",VLOOKUP($A14,Pontuação!$A$5:$V$88,COLUMN(B:B),0))</f>
        <v/>
      </c>
      <c r="C14" s="7" t="str">
        <f>IF(Propostas!$C21="","",VLOOKUP($A14,Pontuação!$A$5:$V$88,COLUMN(C:C),0))</f>
        <v/>
      </c>
      <c r="D14" s="7" t="str">
        <f>IF(Propostas!$C21="","",VLOOKUP($A14,Pontuação!$A$5:$V$88,COLUMN(D:D),0))</f>
        <v/>
      </c>
      <c r="E14" s="7" t="str">
        <f>IF(Propostas!$C21="","",VLOOKUP($A14,Pontuação!$A$5:$V$88,COLUMN(E:E),0))</f>
        <v/>
      </c>
      <c r="F14" s="7" t="str">
        <f>IF(Propostas!$C21="","",VLOOKUP($A14,Pontuação!$A$5:$V$88,COLUMN(F:F),0))</f>
        <v/>
      </c>
      <c r="G14" s="7" t="str">
        <f>IF(Propostas!$C21="","",VLOOKUP($A14,Pontuação!$A$5:$V$88,COLUMN(G:G),0))</f>
        <v/>
      </c>
      <c r="H14" s="7" t="str">
        <f>IF(Propostas!$C21="","",VLOOKUP($A14,Pontuação!$A$5:$V$88,COLUMN(H:H),0))</f>
        <v/>
      </c>
      <c r="I14" s="7" t="str">
        <f>IF(Propostas!$C21="","",VLOOKUP($A14,Pontuação!$A$5:$V$88,COLUMN(I:I),0))</f>
        <v/>
      </c>
      <c r="J14" s="7" t="str">
        <f>IF(Propostas!$C21="","",VLOOKUP($A14,Pontuação!$A$5:$V$88,COLUMN(J:J),0))</f>
        <v/>
      </c>
      <c r="K14" s="7" t="str">
        <f>IF(Propostas!$C21="","",VLOOKUP($A14,Pontuação!$A$5:$V$88,COLUMN(K:K),0))</f>
        <v/>
      </c>
      <c r="L14" s="7" t="str">
        <f>IF(Propostas!$C21="","",VLOOKUP($A14,Pontuação!$A$5:$V$88,COLUMN(L:L),0))</f>
        <v/>
      </c>
      <c r="M14" s="7" t="str">
        <f>IF(Propostas!$C21="","",VLOOKUP($A14,Pontuação!$A$5:$V$88,COLUMN(M:M),0))</f>
        <v/>
      </c>
      <c r="N14" s="7" t="str">
        <f>IF(Propostas!$C21="","",VLOOKUP($A14,Pontuação!$A$5:$V$88,COLUMN(N:N),0))</f>
        <v/>
      </c>
      <c r="O14" s="7" t="str">
        <f>IF(Propostas!$C21="","",VLOOKUP($A14,Pontuação!$A$5:$V$88,COLUMN(O:O),0))</f>
        <v/>
      </c>
      <c r="P14" s="7" t="str">
        <f>IF(Propostas!$C21="","",VLOOKUP($A14,Pontuação!$A$5:$V$88,COLUMN(P:P),0))</f>
        <v/>
      </c>
      <c r="Q14" s="7" t="str">
        <f>IF(Propostas!$C21="","",VLOOKUP($A14,Pontuação!$A$5:$V$88,COLUMN(Q:Q),0))</f>
        <v/>
      </c>
      <c r="R14" s="7" t="str">
        <f>IF(Propostas!$C21="","",VLOOKUP($A14,Pontuação!$A$5:$V$88,COLUMN(R:R),0))</f>
        <v/>
      </c>
      <c r="S14" s="7" t="str">
        <f>IF(Propostas!$C21="","",VLOOKUP($A14,Pontuação!$A$5:$V$88,COLUMN(S:S),0))</f>
        <v/>
      </c>
      <c r="T14" s="7" t="str">
        <f>IF(Propostas!$C21="","",VLOOKUP($A14,Pontuação!$A$5:$V$88,COLUMN(T:T),0))</f>
        <v/>
      </c>
      <c r="U14" s="7" t="str">
        <f>IF(Propostas!$C21="","",VLOOKUP($A14,Pontuação!$A$5:$V$88,COLUMN(U:U),0))</f>
        <v/>
      </c>
      <c r="V14" s="7" t="str">
        <f>IF(Propostas!$B21="","",SUM(C14:U14))</f>
        <v/>
      </c>
      <c r="W14" s="11" t="str">
        <f>IF(Propostas!$C21="","",RANK(V14,$V$5:$V$90,0))</f>
        <v/>
      </c>
      <c r="X14" s="13" t="str">
        <f>IF(Propostas!$C21="","",VLOOKUP(B14,Propostas[],3,0))</f>
        <v/>
      </c>
      <c r="Y14" s="13" t="str">
        <f>IF(Propostas!$C21="","",Y13-X14)</f>
        <v/>
      </c>
      <c r="Z14" s="2" t="str">
        <f>IF(Propostas!$C21="","",IF(Y14&gt;0,"S","N"))</f>
        <v/>
      </c>
    </row>
    <row r="15" spans="1:27" x14ac:dyDescent="0.35">
      <c r="A15" s="11" t="str">
        <f>IF(Propostas!$C22="","",ROW(11:11))</f>
        <v/>
      </c>
      <c r="B15" s="1" t="str">
        <f>IF(Propostas!$C22="","",VLOOKUP($A15,Pontuação!$A$5:$V$88,COLUMN(B:B),0))</f>
        <v/>
      </c>
      <c r="C15" s="7" t="str">
        <f>IF(Propostas!$C22="","",VLOOKUP($A15,Pontuação!$A$5:$V$88,COLUMN(C:C),0))</f>
        <v/>
      </c>
      <c r="D15" s="7" t="str">
        <f>IF(Propostas!$C22="","",VLOOKUP($A15,Pontuação!$A$5:$V$88,COLUMN(D:D),0))</f>
        <v/>
      </c>
      <c r="E15" s="7" t="str">
        <f>IF(Propostas!$C22="","",VLOOKUP($A15,Pontuação!$A$5:$V$88,COLUMN(E:E),0))</f>
        <v/>
      </c>
      <c r="F15" s="7" t="str">
        <f>IF(Propostas!$C22="","",VLOOKUP($A15,Pontuação!$A$5:$V$88,COLUMN(F:F),0))</f>
        <v/>
      </c>
      <c r="G15" s="7" t="str">
        <f>IF(Propostas!$C22="","",VLOOKUP($A15,Pontuação!$A$5:$V$88,COLUMN(G:G),0))</f>
        <v/>
      </c>
      <c r="H15" s="7" t="str">
        <f>IF(Propostas!$C22="","",VLOOKUP($A15,Pontuação!$A$5:$V$88,COLUMN(H:H),0))</f>
        <v/>
      </c>
      <c r="I15" s="7" t="str">
        <f>IF(Propostas!$C22="","",VLOOKUP($A15,Pontuação!$A$5:$V$88,COLUMN(I:I),0))</f>
        <v/>
      </c>
      <c r="J15" s="7" t="str">
        <f>IF(Propostas!$C22="","",VLOOKUP($A15,Pontuação!$A$5:$V$88,COLUMN(J:J),0))</f>
        <v/>
      </c>
      <c r="K15" s="7" t="str">
        <f>IF(Propostas!$C22="","",VLOOKUP($A15,Pontuação!$A$5:$V$88,COLUMN(K:K),0))</f>
        <v/>
      </c>
      <c r="L15" s="7" t="str">
        <f>IF(Propostas!$C22="","",VLOOKUP($A15,Pontuação!$A$5:$V$88,COLUMN(L:L),0))</f>
        <v/>
      </c>
      <c r="M15" s="7" t="str">
        <f>IF(Propostas!$C22="","",VLOOKUP($A15,Pontuação!$A$5:$V$88,COLUMN(M:M),0))</f>
        <v/>
      </c>
      <c r="N15" s="7" t="str">
        <f>IF(Propostas!$C22="","",VLOOKUP($A15,Pontuação!$A$5:$V$88,COLUMN(N:N),0))</f>
        <v/>
      </c>
      <c r="O15" s="7" t="str">
        <f>IF(Propostas!$C22="","",VLOOKUP($A15,Pontuação!$A$5:$V$88,COLUMN(O:O),0))</f>
        <v/>
      </c>
      <c r="P15" s="7" t="str">
        <f>IF(Propostas!$C22="","",VLOOKUP($A15,Pontuação!$A$5:$V$88,COLUMN(P:P),0))</f>
        <v/>
      </c>
      <c r="Q15" s="7" t="str">
        <f>IF(Propostas!$C22="","",VLOOKUP($A15,Pontuação!$A$5:$V$88,COLUMN(Q:Q),0))</f>
        <v/>
      </c>
      <c r="R15" s="7" t="str">
        <f>IF(Propostas!$C22="","",VLOOKUP($A15,Pontuação!$A$5:$V$88,COLUMN(R:R),0))</f>
        <v/>
      </c>
      <c r="S15" s="7" t="str">
        <f>IF(Propostas!$C22="","",VLOOKUP($A15,Pontuação!$A$5:$V$88,COLUMN(S:S),0))</f>
        <v/>
      </c>
      <c r="T15" s="7" t="str">
        <f>IF(Propostas!$C22="","",VLOOKUP($A15,Pontuação!$A$5:$V$88,COLUMN(T:T),0))</f>
        <v/>
      </c>
      <c r="U15" s="7" t="str">
        <f>IF(Propostas!$C22="","",VLOOKUP($A15,Pontuação!$A$5:$V$88,COLUMN(U:U),0))</f>
        <v/>
      </c>
      <c r="V15" s="7" t="str">
        <f>IF(Propostas!$B22="","",SUM(C15:U15))</f>
        <v/>
      </c>
      <c r="W15" s="11" t="str">
        <f>IF(Propostas!$C22="","",RANK(V15,$V$5:$V$90,0))</f>
        <v/>
      </c>
      <c r="X15" s="13" t="str">
        <f>IF(Propostas!$C22="","",VLOOKUP(B15,Propostas[],3,0))</f>
        <v/>
      </c>
      <c r="Y15" s="13" t="str">
        <f>IF(Propostas!$C22="","",Y14-X15)</f>
        <v/>
      </c>
      <c r="Z15" s="2" t="str">
        <f>IF(Propostas!$C22="","",IF(Y15&gt;0,"S","N"))</f>
        <v/>
      </c>
    </row>
    <row r="16" spans="1:27" x14ac:dyDescent="0.35">
      <c r="A16" s="11" t="str">
        <f>IF(Propostas!$C23="","",ROW(12:12))</f>
        <v/>
      </c>
      <c r="B16" s="1" t="str">
        <f>IF(Propostas!$C23="","",VLOOKUP($A16,Pontuação!$A$5:$V$88,COLUMN(B:B),0))</f>
        <v/>
      </c>
      <c r="C16" s="7" t="str">
        <f>IF(Propostas!$C23="","",VLOOKUP($A16,Pontuação!$A$5:$V$88,COLUMN(C:C),0))</f>
        <v/>
      </c>
      <c r="D16" s="7" t="str">
        <f>IF(Propostas!$C23="","",VLOOKUP($A16,Pontuação!$A$5:$V$88,COLUMN(D:D),0))</f>
        <v/>
      </c>
      <c r="E16" s="7" t="str">
        <f>IF(Propostas!$C23="","",VLOOKUP($A16,Pontuação!$A$5:$V$88,COLUMN(E:E),0))</f>
        <v/>
      </c>
      <c r="F16" s="7" t="str">
        <f>IF(Propostas!$C23="","",VLOOKUP($A16,Pontuação!$A$5:$V$88,COLUMN(F:F),0))</f>
        <v/>
      </c>
      <c r="G16" s="7" t="str">
        <f>IF(Propostas!$C23="","",VLOOKUP($A16,Pontuação!$A$5:$V$88,COLUMN(G:G),0))</f>
        <v/>
      </c>
      <c r="H16" s="7" t="str">
        <f>IF(Propostas!$C23="","",VLOOKUP($A16,Pontuação!$A$5:$V$88,COLUMN(H:H),0))</f>
        <v/>
      </c>
      <c r="I16" s="7" t="str">
        <f>IF(Propostas!$C23="","",VLOOKUP($A16,Pontuação!$A$5:$V$88,COLUMN(I:I),0))</f>
        <v/>
      </c>
      <c r="J16" s="7" t="str">
        <f>IF(Propostas!$C23="","",VLOOKUP($A16,Pontuação!$A$5:$V$88,COLUMN(J:J),0))</f>
        <v/>
      </c>
      <c r="K16" s="7" t="str">
        <f>IF(Propostas!$C23="","",VLOOKUP($A16,Pontuação!$A$5:$V$88,COLUMN(K:K),0))</f>
        <v/>
      </c>
      <c r="L16" s="7" t="str">
        <f>IF(Propostas!$C23="","",VLOOKUP($A16,Pontuação!$A$5:$V$88,COLUMN(L:L),0))</f>
        <v/>
      </c>
      <c r="M16" s="7" t="str">
        <f>IF(Propostas!$C23="","",VLOOKUP($A16,Pontuação!$A$5:$V$88,COLUMN(M:M),0))</f>
        <v/>
      </c>
      <c r="N16" s="7" t="str">
        <f>IF(Propostas!$C23="","",VLOOKUP($A16,Pontuação!$A$5:$V$88,COLUMN(N:N),0))</f>
        <v/>
      </c>
      <c r="O16" s="7" t="str">
        <f>IF(Propostas!$C23="","",VLOOKUP($A16,Pontuação!$A$5:$V$88,COLUMN(O:O),0))</f>
        <v/>
      </c>
      <c r="P16" s="7" t="str">
        <f>IF(Propostas!$C23="","",VLOOKUP($A16,Pontuação!$A$5:$V$88,COLUMN(P:P),0))</f>
        <v/>
      </c>
      <c r="Q16" s="7" t="str">
        <f>IF(Propostas!$C23="","",VLOOKUP($A16,Pontuação!$A$5:$V$88,COLUMN(Q:Q),0))</f>
        <v/>
      </c>
      <c r="R16" s="7" t="str">
        <f>IF(Propostas!$C23="","",VLOOKUP($A16,Pontuação!$A$5:$V$88,COLUMN(R:R),0))</f>
        <v/>
      </c>
      <c r="S16" s="7" t="str">
        <f>IF(Propostas!$C23="","",VLOOKUP($A16,Pontuação!$A$5:$V$88,COLUMN(S:S),0))</f>
        <v/>
      </c>
      <c r="T16" s="7" t="str">
        <f>IF(Propostas!$C23="","",VLOOKUP($A16,Pontuação!$A$5:$V$88,COLUMN(T:T),0))</f>
        <v/>
      </c>
      <c r="U16" s="7" t="str">
        <f>IF(Propostas!$C23="","",VLOOKUP($A16,Pontuação!$A$5:$V$88,COLUMN(U:U),0))</f>
        <v/>
      </c>
      <c r="V16" s="7" t="str">
        <f>IF(Propostas!$B23="","",SUM(C16:U16))</f>
        <v/>
      </c>
      <c r="W16" s="11" t="str">
        <f>IF(Propostas!$C23="","",RANK(V16,$V$5:$V$90,0))</f>
        <v/>
      </c>
      <c r="X16" s="13" t="str">
        <f>IF(Propostas!$C23="","",VLOOKUP(B16,Propostas[],3,0))</f>
        <v/>
      </c>
      <c r="Y16" s="13" t="str">
        <f>IF(Propostas!$C23="","",Y15-X16)</f>
        <v/>
      </c>
      <c r="Z16" s="2" t="str">
        <f>IF(Propostas!$C23="","",IF(Y16&gt;0,"S","N"))</f>
        <v/>
      </c>
    </row>
    <row r="17" spans="1:26" x14ac:dyDescent="0.35">
      <c r="A17" s="11" t="str">
        <f>IF(Propostas!$C24="","",ROW(13:13))</f>
        <v/>
      </c>
      <c r="B17" s="1" t="str">
        <f>IF(Propostas!$C24="","",VLOOKUP($A17,Pontuação!$A$5:$V$88,COLUMN(B:B),0))</f>
        <v/>
      </c>
      <c r="C17" s="7" t="str">
        <f>IF(Propostas!$C24="","",VLOOKUP($A17,Pontuação!$A$5:$V$88,COLUMN(C:C),0))</f>
        <v/>
      </c>
      <c r="D17" s="7" t="str">
        <f>IF(Propostas!$C24="","",VLOOKUP($A17,Pontuação!$A$5:$V$88,COLUMN(D:D),0))</f>
        <v/>
      </c>
      <c r="E17" s="7" t="str">
        <f>IF(Propostas!$C24="","",VLOOKUP($A17,Pontuação!$A$5:$V$88,COLUMN(E:E),0))</f>
        <v/>
      </c>
      <c r="F17" s="7" t="str">
        <f>IF(Propostas!$C24="","",VLOOKUP($A17,Pontuação!$A$5:$V$88,COLUMN(F:F),0))</f>
        <v/>
      </c>
      <c r="G17" s="7" t="str">
        <f>IF(Propostas!$C24="","",VLOOKUP($A17,Pontuação!$A$5:$V$88,COLUMN(G:G),0))</f>
        <v/>
      </c>
      <c r="H17" s="7" t="str">
        <f>IF(Propostas!$C24="","",VLOOKUP($A17,Pontuação!$A$5:$V$88,COLUMN(H:H),0))</f>
        <v/>
      </c>
      <c r="I17" s="7" t="str">
        <f>IF(Propostas!$C24="","",VLOOKUP($A17,Pontuação!$A$5:$V$88,COLUMN(I:I),0))</f>
        <v/>
      </c>
      <c r="J17" s="7" t="str">
        <f>IF(Propostas!$C24="","",VLOOKUP($A17,Pontuação!$A$5:$V$88,COLUMN(J:J),0))</f>
        <v/>
      </c>
      <c r="K17" s="7" t="str">
        <f>IF(Propostas!$C24="","",VLOOKUP($A17,Pontuação!$A$5:$V$88,COLUMN(K:K),0))</f>
        <v/>
      </c>
      <c r="L17" s="7" t="str">
        <f>IF(Propostas!$C24="","",VLOOKUP($A17,Pontuação!$A$5:$V$88,COLUMN(L:L),0))</f>
        <v/>
      </c>
      <c r="M17" s="7" t="str">
        <f>IF(Propostas!$C24="","",VLOOKUP($A17,Pontuação!$A$5:$V$88,COLUMN(M:M),0))</f>
        <v/>
      </c>
      <c r="N17" s="7" t="str">
        <f>IF(Propostas!$C24="","",VLOOKUP($A17,Pontuação!$A$5:$V$88,COLUMN(N:N),0))</f>
        <v/>
      </c>
      <c r="O17" s="7" t="str">
        <f>IF(Propostas!$C24="","",VLOOKUP($A17,Pontuação!$A$5:$V$88,COLUMN(O:O),0))</f>
        <v/>
      </c>
      <c r="P17" s="7" t="str">
        <f>IF(Propostas!$C24="","",VLOOKUP($A17,Pontuação!$A$5:$V$88,COLUMN(P:P),0))</f>
        <v/>
      </c>
      <c r="Q17" s="7" t="str">
        <f>IF(Propostas!$C24="","",VLOOKUP($A17,Pontuação!$A$5:$V$88,COLUMN(Q:Q),0))</f>
        <v/>
      </c>
      <c r="R17" s="7" t="str">
        <f>IF(Propostas!$C24="","",VLOOKUP($A17,Pontuação!$A$5:$V$88,COLUMN(R:R),0))</f>
        <v/>
      </c>
      <c r="S17" s="7" t="str">
        <f>IF(Propostas!$C24="","",VLOOKUP($A17,Pontuação!$A$5:$V$88,COLUMN(S:S),0))</f>
        <v/>
      </c>
      <c r="T17" s="7" t="str">
        <f>IF(Propostas!$C24="","",VLOOKUP($A17,Pontuação!$A$5:$V$88,COLUMN(T:T),0))</f>
        <v/>
      </c>
      <c r="U17" s="7" t="str">
        <f>IF(Propostas!$C24="","",VLOOKUP($A17,Pontuação!$A$5:$V$88,COLUMN(U:U),0))</f>
        <v/>
      </c>
      <c r="V17" s="7" t="str">
        <f>IF(Propostas!$B24="","",SUM(C17:U17))</f>
        <v/>
      </c>
      <c r="W17" s="11" t="str">
        <f>IF(Propostas!$C24="","",RANK(V17,$V$5:$V$90,0))</f>
        <v/>
      </c>
      <c r="X17" s="13" t="str">
        <f>IF(Propostas!$C24="","",VLOOKUP(B17,Propostas[],3,0))</f>
        <v/>
      </c>
      <c r="Y17" s="13" t="str">
        <f>IF(Propostas!$C24="","",Y16-X17)</f>
        <v/>
      </c>
      <c r="Z17" s="2" t="str">
        <f>IF(Propostas!$C24="","",IF(Y17&gt;0,"S","N"))</f>
        <v/>
      </c>
    </row>
    <row r="18" spans="1:26" x14ac:dyDescent="0.35">
      <c r="A18" s="11" t="str">
        <f>IF(Propostas!$C25="","",ROW(14:14))</f>
        <v/>
      </c>
      <c r="B18" s="1" t="str">
        <f>IF(Propostas!$C25="","",VLOOKUP($A18,Pontuação!$A$5:$V$88,COLUMN(B:B),0))</f>
        <v/>
      </c>
      <c r="C18" s="7" t="str">
        <f>IF(Propostas!$C25="","",VLOOKUP($A18,Pontuação!$A$5:$V$88,COLUMN(C:C),0))</f>
        <v/>
      </c>
      <c r="D18" s="7" t="str">
        <f>IF(Propostas!$C25="","",VLOOKUP($A18,Pontuação!$A$5:$V$88,COLUMN(D:D),0))</f>
        <v/>
      </c>
      <c r="E18" s="7" t="str">
        <f>IF(Propostas!$C25="","",VLOOKUP($A18,Pontuação!$A$5:$V$88,COLUMN(E:E),0))</f>
        <v/>
      </c>
      <c r="F18" s="7" t="str">
        <f>IF(Propostas!$C25="","",VLOOKUP($A18,Pontuação!$A$5:$V$88,COLUMN(F:F),0))</f>
        <v/>
      </c>
      <c r="G18" s="7" t="str">
        <f>IF(Propostas!$C25="","",VLOOKUP($A18,Pontuação!$A$5:$V$88,COLUMN(G:G),0))</f>
        <v/>
      </c>
      <c r="H18" s="7" t="str">
        <f>IF(Propostas!$C25="","",VLOOKUP($A18,Pontuação!$A$5:$V$88,COLUMN(H:H),0))</f>
        <v/>
      </c>
      <c r="I18" s="7" t="str">
        <f>IF(Propostas!$C25="","",VLOOKUP($A18,Pontuação!$A$5:$V$88,COLUMN(I:I),0))</f>
        <v/>
      </c>
      <c r="J18" s="7" t="str">
        <f>IF(Propostas!$C25="","",VLOOKUP($A18,Pontuação!$A$5:$V$88,COLUMN(J:J),0))</f>
        <v/>
      </c>
      <c r="K18" s="7" t="str">
        <f>IF(Propostas!$C25="","",VLOOKUP($A18,Pontuação!$A$5:$V$88,COLUMN(K:K),0))</f>
        <v/>
      </c>
      <c r="L18" s="7" t="str">
        <f>IF(Propostas!$C25="","",VLOOKUP($A18,Pontuação!$A$5:$V$88,COLUMN(L:L),0))</f>
        <v/>
      </c>
      <c r="M18" s="7" t="str">
        <f>IF(Propostas!$C25="","",VLOOKUP($A18,Pontuação!$A$5:$V$88,COLUMN(M:M),0))</f>
        <v/>
      </c>
      <c r="N18" s="7" t="str">
        <f>IF(Propostas!$C25="","",VLOOKUP($A18,Pontuação!$A$5:$V$88,COLUMN(N:N),0))</f>
        <v/>
      </c>
      <c r="O18" s="7" t="str">
        <f>IF(Propostas!$C25="","",VLOOKUP($A18,Pontuação!$A$5:$V$88,COLUMN(O:O),0))</f>
        <v/>
      </c>
      <c r="P18" s="7" t="str">
        <f>IF(Propostas!$C25="","",VLOOKUP($A18,Pontuação!$A$5:$V$88,COLUMN(P:P),0))</f>
        <v/>
      </c>
      <c r="Q18" s="7" t="str">
        <f>IF(Propostas!$C25="","",VLOOKUP($A18,Pontuação!$A$5:$V$88,COLUMN(Q:Q),0))</f>
        <v/>
      </c>
      <c r="R18" s="7" t="str">
        <f>IF(Propostas!$C25="","",VLOOKUP($A18,Pontuação!$A$5:$V$88,COLUMN(R:R),0))</f>
        <v/>
      </c>
      <c r="S18" s="7" t="str">
        <f>IF(Propostas!$C25="","",VLOOKUP($A18,Pontuação!$A$5:$V$88,COLUMN(S:S),0))</f>
        <v/>
      </c>
      <c r="T18" s="7" t="str">
        <f>IF(Propostas!$C25="","",VLOOKUP($A18,Pontuação!$A$5:$V$88,COLUMN(T:T),0))</f>
        <v/>
      </c>
      <c r="U18" s="7" t="str">
        <f>IF(Propostas!$C25="","",VLOOKUP($A18,Pontuação!$A$5:$V$88,COLUMN(U:U),0))</f>
        <v/>
      </c>
      <c r="V18" s="7" t="str">
        <f>IF(Propostas!$B25="","",SUM(C18:U18))</f>
        <v/>
      </c>
      <c r="W18" s="11" t="str">
        <f>IF(Propostas!$C25="","",RANK(V18,$V$5:$V$90,0))</f>
        <v/>
      </c>
      <c r="X18" s="13" t="str">
        <f>IF(Propostas!$C25="","",VLOOKUP(B18,Propostas[],3,0))</f>
        <v/>
      </c>
      <c r="Y18" s="13" t="str">
        <f>IF(Propostas!$C25="","",Y17-X18)</f>
        <v/>
      </c>
      <c r="Z18" s="2" t="str">
        <f>IF(Propostas!$C25="","",IF(Y18&gt;0,"S","N"))</f>
        <v/>
      </c>
    </row>
    <row r="19" spans="1:26" x14ac:dyDescent="0.35">
      <c r="A19" s="11" t="str">
        <f>IF(Propostas!$C26="","",ROW(15:15))</f>
        <v/>
      </c>
      <c r="B19" s="1" t="str">
        <f>IF(Propostas!$C26="","",VLOOKUP($A19,Pontuação!$A$5:$V$88,COLUMN(B:B),0))</f>
        <v/>
      </c>
      <c r="C19" s="7" t="str">
        <f>IF(Propostas!$C26="","",VLOOKUP($A19,Pontuação!$A$5:$V$88,COLUMN(C:C),0))</f>
        <v/>
      </c>
      <c r="D19" s="7" t="str">
        <f>IF(Propostas!$C26="","",VLOOKUP($A19,Pontuação!$A$5:$V$88,COLUMN(D:D),0))</f>
        <v/>
      </c>
      <c r="E19" s="7" t="str">
        <f>IF(Propostas!$C26="","",VLOOKUP($A19,Pontuação!$A$5:$V$88,COLUMN(E:E),0))</f>
        <v/>
      </c>
      <c r="F19" s="7" t="str">
        <f>IF(Propostas!$C26="","",VLOOKUP($A19,Pontuação!$A$5:$V$88,COLUMN(F:F),0))</f>
        <v/>
      </c>
      <c r="G19" s="7" t="str">
        <f>IF(Propostas!$C26="","",VLOOKUP($A19,Pontuação!$A$5:$V$88,COLUMN(G:G),0))</f>
        <v/>
      </c>
      <c r="H19" s="7" t="str">
        <f>IF(Propostas!$C26="","",VLOOKUP($A19,Pontuação!$A$5:$V$88,COLUMN(H:H),0))</f>
        <v/>
      </c>
      <c r="I19" s="7" t="str">
        <f>IF(Propostas!$C26="","",VLOOKUP($A19,Pontuação!$A$5:$V$88,COLUMN(I:I),0))</f>
        <v/>
      </c>
      <c r="J19" s="7" t="str">
        <f>IF(Propostas!$C26="","",VLOOKUP($A19,Pontuação!$A$5:$V$88,COLUMN(J:J),0))</f>
        <v/>
      </c>
      <c r="K19" s="7" t="str">
        <f>IF(Propostas!$C26="","",VLOOKUP($A19,Pontuação!$A$5:$V$88,COLUMN(K:K),0))</f>
        <v/>
      </c>
      <c r="L19" s="7" t="str">
        <f>IF(Propostas!$C26="","",VLOOKUP($A19,Pontuação!$A$5:$V$88,COLUMN(L:L),0))</f>
        <v/>
      </c>
      <c r="M19" s="7" t="str">
        <f>IF(Propostas!$C26="","",VLOOKUP($A19,Pontuação!$A$5:$V$88,COLUMN(M:M),0))</f>
        <v/>
      </c>
      <c r="N19" s="7" t="str">
        <f>IF(Propostas!$C26="","",VLOOKUP($A19,Pontuação!$A$5:$V$88,COLUMN(N:N),0))</f>
        <v/>
      </c>
      <c r="O19" s="7" t="str">
        <f>IF(Propostas!$C26="","",VLOOKUP($A19,Pontuação!$A$5:$V$88,COLUMN(O:O),0))</f>
        <v/>
      </c>
      <c r="P19" s="7" t="str">
        <f>IF(Propostas!$C26="","",VLOOKUP($A19,Pontuação!$A$5:$V$88,COLUMN(P:P),0))</f>
        <v/>
      </c>
      <c r="Q19" s="7" t="str">
        <f>IF(Propostas!$C26="","",VLOOKUP($A19,Pontuação!$A$5:$V$88,COLUMN(Q:Q),0))</f>
        <v/>
      </c>
      <c r="R19" s="7" t="str">
        <f>IF(Propostas!$C26="","",VLOOKUP($A19,Pontuação!$A$5:$V$88,COLUMN(R:R),0))</f>
        <v/>
      </c>
      <c r="S19" s="7" t="str">
        <f>IF(Propostas!$C26="","",VLOOKUP($A19,Pontuação!$A$5:$V$88,COLUMN(S:S),0))</f>
        <v/>
      </c>
      <c r="T19" s="7" t="str">
        <f>IF(Propostas!$C26="","",VLOOKUP($A19,Pontuação!$A$5:$V$88,COLUMN(T:T),0))</f>
        <v/>
      </c>
      <c r="U19" s="7" t="str">
        <f>IF(Propostas!$C26="","",VLOOKUP($A19,Pontuação!$A$5:$V$88,COLUMN(U:U),0))</f>
        <v/>
      </c>
      <c r="V19" s="7" t="str">
        <f>IF(Propostas!$B26="","",SUM(C19:U19))</f>
        <v/>
      </c>
      <c r="W19" s="11" t="str">
        <f>IF(Propostas!$C26="","",RANK(V19,$V$5:$V$90,0))</f>
        <v/>
      </c>
      <c r="X19" s="13" t="str">
        <f>IF(Propostas!$C26="","",VLOOKUP(B19,Propostas[],3,0))</f>
        <v/>
      </c>
      <c r="Y19" s="13" t="str">
        <f>IF(Propostas!$C26="","",Y18-X19)</f>
        <v/>
      </c>
      <c r="Z19" s="2" t="str">
        <f>IF(Propostas!$C26="","",IF(Y19&gt;0,"S","N"))</f>
        <v/>
      </c>
    </row>
    <row r="20" spans="1:26" x14ac:dyDescent="0.35">
      <c r="A20" s="11" t="str">
        <f>IF(Propostas!$C27="","",ROW(16:16))</f>
        <v/>
      </c>
      <c r="B20" s="1" t="str">
        <f>IF(Propostas!$C27="","",VLOOKUP($A20,Pontuação!$A$5:$V$88,COLUMN(B:B),0))</f>
        <v/>
      </c>
      <c r="C20" s="7" t="str">
        <f>IF(Propostas!$C27="","",VLOOKUP($A20,Pontuação!$A$5:$V$88,COLUMN(C:C),0))</f>
        <v/>
      </c>
      <c r="D20" s="7" t="str">
        <f>IF(Propostas!$C27="","",VLOOKUP($A20,Pontuação!$A$5:$V$88,COLUMN(D:D),0))</f>
        <v/>
      </c>
      <c r="E20" s="7" t="str">
        <f>IF(Propostas!$C27="","",VLOOKUP($A20,Pontuação!$A$5:$V$88,COLUMN(E:E),0))</f>
        <v/>
      </c>
      <c r="F20" s="7" t="str">
        <f>IF(Propostas!$C27="","",VLOOKUP($A20,Pontuação!$A$5:$V$88,COLUMN(F:F),0))</f>
        <v/>
      </c>
      <c r="G20" s="7" t="str">
        <f>IF(Propostas!$C27="","",VLOOKUP($A20,Pontuação!$A$5:$V$88,COLUMN(G:G),0))</f>
        <v/>
      </c>
      <c r="H20" s="7" t="str">
        <f>IF(Propostas!$C27="","",VLOOKUP($A20,Pontuação!$A$5:$V$88,COLUMN(H:H),0))</f>
        <v/>
      </c>
      <c r="I20" s="7" t="str">
        <f>IF(Propostas!$C27="","",VLOOKUP($A20,Pontuação!$A$5:$V$88,COLUMN(I:I),0))</f>
        <v/>
      </c>
      <c r="J20" s="7" t="str">
        <f>IF(Propostas!$C27="","",VLOOKUP($A20,Pontuação!$A$5:$V$88,COLUMN(J:J),0))</f>
        <v/>
      </c>
      <c r="K20" s="7" t="str">
        <f>IF(Propostas!$C27="","",VLOOKUP($A20,Pontuação!$A$5:$V$88,COLUMN(K:K),0))</f>
        <v/>
      </c>
      <c r="L20" s="7" t="str">
        <f>IF(Propostas!$C27="","",VLOOKUP($A20,Pontuação!$A$5:$V$88,COLUMN(L:L),0))</f>
        <v/>
      </c>
      <c r="M20" s="7" t="str">
        <f>IF(Propostas!$C27="","",VLOOKUP($A20,Pontuação!$A$5:$V$88,COLUMN(M:M),0))</f>
        <v/>
      </c>
      <c r="N20" s="7" t="str">
        <f>IF(Propostas!$C27="","",VLOOKUP($A20,Pontuação!$A$5:$V$88,COLUMN(N:N),0))</f>
        <v/>
      </c>
      <c r="O20" s="7" t="str">
        <f>IF(Propostas!$C27="","",VLOOKUP($A20,Pontuação!$A$5:$V$88,COLUMN(O:O),0))</f>
        <v/>
      </c>
      <c r="P20" s="7" t="str">
        <f>IF(Propostas!$C27="","",VLOOKUP($A20,Pontuação!$A$5:$V$88,COLUMN(P:P),0))</f>
        <v/>
      </c>
      <c r="Q20" s="7" t="str">
        <f>IF(Propostas!$C27="","",VLOOKUP($A20,Pontuação!$A$5:$V$88,COLUMN(Q:Q),0))</f>
        <v/>
      </c>
      <c r="R20" s="7" t="str">
        <f>IF(Propostas!$C27="","",VLOOKUP($A20,Pontuação!$A$5:$V$88,COLUMN(R:R),0))</f>
        <v/>
      </c>
      <c r="S20" s="7" t="str">
        <f>IF(Propostas!$C27="","",VLOOKUP($A20,Pontuação!$A$5:$V$88,COLUMN(S:S),0))</f>
        <v/>
      </c>
      <c r="T20" s="7" t="str">
        <f>IF(Propostas!$C27="","",VLOOKUP($A20,Pontuação!$A$5:$V$88,COLUMN(T:T),0))</f>
        <v/>
      </c>
      <c r="U20" s="7" t="str">
        <f>IF(Propostas!$C27="","",VLOOKUP($A20,Pontuação!$A$5:$V$88,COLUMN(U:U),0))</f>
        <v/>
      </c>
      <c r="V20" s="7" t="str">
        <f>IF(Propostas!$B27="","",SUM(C20:U20))</f>
        <v/>
      </c>
      <c r="W20" s="11" t="str">
        <f>IF(Propostas!$C27="","",RANK(V20,$V$5:$V$90,0))</f>
        <v/>
      </c>
      <c r="X20" s="13" t="str">
        <f>IF(Propostas!$C27="","",VLOOKUP(B20,Propostas[],3,0))</f>
        <v/>
      </c>
      <c r="Y20" s="13" t="str">
        <f>IF(Propostas!$C27="","",Y19-X20)</f>
        <v/>
      </c>
      <c r="Z20" s="2" t="str">
        <f>IF(Propostas!$C27="","",IF(Y20&gt;0,"S","N"))</f>
        <v/>
      </c>
    </row>
    <row r="21" spans="1:26" x14ac:dyDescent="0.35">
      <c r="A21" s="11" t="str">
        <f>IF(Propostas!$C28="","",ROW(17:17))</f>
        <v/>
      </c>
      <c r="B21" s="1" t="str">
        <f>IF(Propostas!$C28="","",VLOOKUP($A21,Pontuação!$A$5:$V$88,COLUMN(B:B),0))</f>
        <v/>
      </c>
      <c r="C21" s="7" t="str">
        <f>IF(Propostas!$C28="","",VLOOKUP($A21,Pontuação!$A$5:$V$88,COLUMN(C:C),0))</f>
        <v/>
      </c>
      <c r="D21" s="7" t="str">
        <f>IF(Propostas!$C28="","",VLOOKUP($A21,Pontuação!$A$5:$V$88,COLUMN(D:D),0))</f>
        <v/>
      </c>
      <c r="E21" s="7" t="str">
        <f>IF(Propostas!$C28="","",VLOOKUP($A21,Pontuação!$A$5:$V$88,COLUMN(E:E),0))</f>
        <v/>
      </c>
      <c r="F21" s="7" t="str">
        <f>IF(Propostas!$C28="","",VLOOKUP($A21,Pontuação!$A$5:$V$88,COLUMN(F:F),0))</f>
        <v/>
      </c>
      <c r="G21" s="7" t="str">
        <f>IF(Propostas!$C28="","",VLOOKUP($A21,Pontuação!$A$5:$V$88,COLUMN(G:G),0))</f>
        <v/>
      </c>
      <c r="H21" s="7" t="str">
        <f>IF(Propostas!$C28="","",VLOOKUP($A21,Pontuação!$A$5:$V$88,COLUMN(H:H),0))</f>
        <v/>
      </c>
      <c r="I21" s="7" t="str">
        <f>IF(Propostas!$C28="","",VLOOKUP($A21,Pontuação!$A$5:$V$88,COLUMN(I:I),0))</f>
        <v/>
      </c>
      <c r="J21" s="7" t="str">
        <f>IF(Propostas!$C28="","",VLOOKUP($A21,Pontuação!$A$5:$V$88,COLUMN(J:J),0))</f>
        <v/>
      </c>
      <c r="K21" s="7" t="str">
        <f>IF(Propostas!$C28="","",VLOOKUP($A21,Pontuação!$A$5:$V$88,COLUMN(K:K),0))</f>
        <v/>
      </c>
      <c r="L21" s="7" t="str">
        <f>IF(Propostas!$C28="","",VLOOKUP($A21,Pontuação!$A$5:$V$88,COLUMN(L:L),0))</f>
        <v/>
      </c>
      <c r="M21" s="7" t="str">
        <f>IF(Propostas!$C28="","",VLOOKUP($A21,Pontuação!$A$5:$V$88,COLUMN(M:M),0))</f>
        <v/>
      </c>
      <c r="N21" s="7" t="str">
        <f>IF(Propostas!$C28="","",VLOOKUP($A21,Pontuação!$A$5:$V$88,COLUMN(N:N),0))</f>
        <v/>
      </c>
      <c r="O21" s="7" t="str">
        <f>IF(Propostas!$C28="","",VLOOKUP($A21,Pontuação!$A$5:$V$88,COLUMN(O:O),0))</f>
        <v/>
      </c>
      <c r="P21" s="7" t="str">
        <f>IF(Propostas!$C28="","",VLOOKUP($A21,Pontuação!$A$5:$V$88,COLUMN(P:P),0))</f>
        <v/>
      </c>
      <c r="Q21" s="7" t="str">
        <f>IF(Propostas!$C28="","",VLOOKUP($A21,Pontuação!$A$5:$V$88,COLUMN(Q:Q),0))</f>
        <v/>
      </c>
      <c r="R21" s="7" t="str">
        <f>IF(Propostas!$C28="","",VLOOKUP($A21,Pontuação!$A$5:$V$88,COLUMN(R:R),0))</f>
        <v/>
      </c>
      <c r="S21" s="7" t="str">
        <f>IF(Propostas!$C28="","",VLOOKUP($A21,Pontuação!$A$5:$V$88,COLUMN(S:S),0))</f>
        <v/>
      </c>
      <c r="T21" s="7" t="str">
        <f>IF(Propostas!$C28="","",VLOOKUP($A21,Pontuação!$A$5:$V$88,COLUMN(T:T),0))</f>
        <v/>
      </c>
      <c r="U21" s="7" t="str">
        <f>IF(Propostas!$C28="","",VLOOKUP($A21,Pontuação!$A$5:$V$88,COLUMN(U:U),0))</f>
        <v/>
      </c>
      <c r="V21" s="7" t="str">
        <f>IF(Propostas!$B28="","",SUM(C21:U21))</f>
        <v/>
      </c>
      <c r="W21" s="11" t="str">
        <f>IF(Propostas!$C28="","",RANK(V21,$V$5:$V$90,0))</f>
        <v/>
      </c>
      <c r="X21" s="13" t="str">
        <f>IF(Propostas!$C28="","",VLOOKUP(B21,Propostas[],3,0))</f>
        <v/>
      </c>
      <c r="Y21" s="13" t="str">
        <f>IF(Propostas!$C28="","",Y20-X21)</f>
        <v/>
      </c>
      <c r="Z21" s="2" t="str">
        <f>IF(Propostas!$C28="","",IF(Y21&gt;0,"S","N"))</f>
        <v/>
      </c>
    </row>
    <row r="22" spans="1:26" x14ac:dyDescent="0.35">
      <c r="A22" s="2" t="str">
        <f>IF(Propostas!$C29="","",ROW(18:18))</f>
        <v/>
      </c>
      <c r="B22" s="1" t="str">
        <f>IF(Propostas!$C29="","",VLOOKUP($A22,Pontuação!$A$5:$V$88,COLUMN(B:B),0))</f>
        <v/>
      </c>
      <c r="C22" s="7" t="str">
        <f>IF(Propostas!$C29="","",VLOOKUP($A22,Pontuação!$A$5:$V$88,COLUMN(C:C),0))</f>
        <v/>
      </c>
      <c r="D22" s="7" t="str">
        <f>IF(Propostas!$C29="","",VLOOKUP($A22,Pontuação!$A$5:$V$88,COLUMN(D:D),0))</f>
        <v/>
      </c>
      <c r="E22" s="7" t="str">
        <f>IF(Propostas!$C29="","",VLOOKUP($A22,Pontuação!$A$5:$V$88,COLUMN(E:E),0))</f>
        <v/>
      </c>
      <c r="F22" s="7" t="str">
        <f>IF(Propostas!$C29="","",VLOOKUP($A22,Pontuação!$A$5:$V$88,COLUMN(F:F),0))</f>
        <v/>
      </c>
      <c r="G22" s="7" t="str">
        <f>IF(Propostas!$C29="","",VLOOKUP($A22,Pontuação!$A$5:$V$88,COLUMN(G:G),0))</f>
        <v/>
      </c>
      <c r="H22" s="7" t="str">
        <f>IF(Propostas!$C29="","",VLOOKUP($A22,Pontuação!$A$5:$V$88,COLUMN(H:H),0))</f>
        <v/>
      </c>
      <c r="I22" s="7" t="str">
        <f>IF(Propostas!$C29="","",VLOOKUP($A22,Pontuação!$A$5:$V$88,COLUMN(I:I),0))</f>
        <v/>
      </c>
      <c r="J22" s="7" t="str">
        <f>IF(Propostas!$C29="","",VLOOKUP($A22,Pontuação!$A$5:$V$88,COLUMN(J:J),0))</f>
        <v/>
      </c>
      <c r="K22" s="7" t="str">
        <f>IF(Propostas!$C29="","",VLOOKUP($A22,Pontuação!$A$5:$V$88,COLUMN(K:K),0))</f>
        <v/>
      </c>
      <c r="L22" s="7" t="str">
        <f>IF(Propostas!$C29="","",VLOOKUP($A22,Pontuação!$A$5:$V$88,COLUMN(L:L),0))</f>
        <v/>
      </c>
      <c r="M22" s="7" t="str">
        <f>IF(Propostas!$C29="","",VLOOKUP($A22,Pontuação!$A$5:$V$88,COLUMN(M:M),0))</f>
        <v/>
      </c>
      <c r="N22" s="7" t="str">
        <f>IF(Propostas!$C29="","",VLOOKUP($A22,Pontuação!$A$5:$V$88,COLUMN(N:N),0))</f>
        <v/>
      </c>
      <c r="O22" s="7" t="str">
        <f>IF(Propostas!$C29="","",VLOOKUP($A22,Pontuação!$A$5:$V$88,COLUMN(O:O),0))</f>
        <v/>
      </c>
      <c r="P22" s="7" t="str">
        <f>IF(Propostas!$C29="","",VLOOKUP($A22,Pontuação!$A$5:$V$88,COLUMN(P:P),0))</f>
        <v/>
      </c>
      <c r="Q22" s="7" t="str">
        <f>IF(Propostas!$C29="","",VLOOKUP($A22,Pontuação!$A$5:$V$88,COLUMN(Q:Q),0))</f>
        <v/>
      </c>
      <c r="R22" s="7" t="str">
        <f>IF(Propostas!$C29="","",VLOOKUP($A22,Pontuação!$A$5:$V$88,COLUMN(R:R),0))</f>
        <v/>
      </c>
      <c r="S22" s="7" t="str">
        <f>IF(Propostas!$C29="","",VLOOKUP($A22,Pontuação!$A$5:$V$88,COLUMN(S:S),0))</f>
        <v/>
      </c>
      <c r="T22" s="7" t="str">
        <f>IF(Propostas!$C29="","",VLOOKUP($A22,Pontuação!$A$5:$V$88,COLUMN(T:T),0))</f>
        <v/>
      </c>
      <c r="U22" s="7" t="str">
        <f>IF(Propostas!$C29="","",VLOOKUP($A22,Pontuação!$A$5:$V$88,COLUMN(U:U),0))</f>
        <v/>
      </c>
      <c r="V22" s="7" t="str">
        <f>IF(Propostas!$B29="","",SUM(C22:U22))</f>
        <v/>
      </c>
      <c r="W22" s="11" t="str">
        <f>IF(Propostas!$C29="","",RANK(V22,$V$5:$V$90,0))</f>
        <v/>
      </c>
      <c r="X22" s="13" t="str">
        <f>IF(Propostas!$C29="","",VLOOKUP(B22,Propostas[],3,0))</f>
        <v/>
      </c>
      <c r="Y22" s="13" t="str">
        <f>IF(Propostas!$C29="","",Y21-X22)</f>
        <v/>
      </c>
      <c r="Z22" s="2" t="str">
        <f>IF(Propostas!$C29="","",IF(Y22&gt;0,"S","N"))</f>
        <v/>
      </c>
    </row>
    <row r="23" spans="1:26" x14ac:dyDescent="0.35">
      <c r="A23" s="11" t="str">
        <f>IF(Propostas!$C30="","",ROW(19:19))</f>
        <v/>
      </c>
      <c r="B23" s="1" t="str">
        <f>IF(Propostas!$C30="","",VLOOKUP($A23,Pontuação!$A$5:$V$88,COLUMN(B:B),0))</f>
        <v/>
      </c>
      <c r="C23" s="7" t="str">
        <f>IF(Propostas!$C30="","",VLOOKUP($A23,Pontuação!$A$5:$V$88,COLUMN(C:C),0))</f>
        <v/>
      </c>
      <c r="D23" s="7" t="str">
        <f>IF(Propostas!$C30="","",VLOOKUP($A23,Pontuação!$A$5:$V$88,COLUMN(D:D),0))</f>
        <v/>
      </c>
      <c r="E23" s="7" t="str">
        <f>IF(Propostas!$C30="","",VLOOKUP($A23,Pontuação!$A$5:$V$88,COLUMN(E:E),0))</f>
        <v/>
      </c>
      <c r="F23" s="7" t="str">
        <f>IF(Propostas!$C30="","",VLOOKUP($A23,Pontuação!$A$5:$V$88,COLUMN(F:F),0))</f>
        <v/>
      </c>
      <c r="G23" s="7" t="str">
        <f>IF(Propostas!$C30="","",VLOOKUP($A23,Pontuação!$A$5:$V$88,COLUMN(G:G),0))</f>
        <v/>
      </c>
      <c r="H23" s="7" t="str">
        <f>IF(Propostas!$C30="","",VLOOKUP($A23,Pontuação!$A$5:$V$88,COLUMN(H:H),0))</f>
        <v/>
      </c>
      <c r="I23" s="7" t="str">
        <f>IF(Propostas!$C30="","",VLOOKUP($A23,Pontuação!$A$5:$V$88,COLUMN(I:I),0))</f>
        <v/>
      </c>
      <c r="J23" s="7" t="str">
        <f>IF(Propostas!$C30="","",VLOOKUP($A23,Pontuação!$A$5:$V$88,COLUMN(J:J),0))</f>
        <v/>
      </c>
      <c r="K23" s="7" t="str">
        <f>IF(Propostas!$C30="","",VLOOKUP($A23,Pontuação!$A$5:$V$88,COLUMN(K:K),0))</f>
        <v/>
      </c>
      <c r="L23" s="7" t="str">
        <f>IF(Propostas!$C30="","",VLOOKUP($A23,Pontuação!$A$5:$V$88,COLUMN(L:L),0))</f>
        <v/>
      </c>
      <c r="M23" s="7" t="str">
        <f>IF(Propostas!$C30="","",VLOOKUP($A23,Pontuação!$A$5:$V$88,COLUMN(M:M),0))</f>
        <v/>
      </c>
      <c r="N23" s="7" t="str">
        <f>IF(Propostas!$C30="","",VLOOKUP($A23,Pontuação!$A$5:$V$88,COLUMN(N:N),0))</f>
        <v/>
      </c>
      <c r="O23" s="7" t="str">
        <f>IF(Propostas!$C30="","",VLOOKUP($A23,Pontuação!$A$5:$V$88,COLUMN(O:O),0))</f>
        <v/>
      </c>
      <c r="P23" s="7" t="str">
        <f>IF(Propostas!$C30="","",VLOOKUP($A23,Pontuação!$A$5:$V$88,COLUMN(P:P),0))</f>
        <v/>
      </c>
      <c r="Q23" s="7" t="str">
        <f>IF(Propostas!$C30="","",VLOOKUP($A23,Pontuação!$A$5:$V$88,COLUMN(Q:Q),0))</f>
        <v/>
      </c>
      <c r="R23" s="7" t="str">
        <f>IF(Propostas!$C30="","",VLOOKUP($A23,Pontuação!$A$5:$V$88,COLUMN(R:R),0))</f>
        <v/>
      </c>
      <c r="S23" s="7" t="str">
        <f>IF(Propostas!$C30="","",VLOOKUP($A23,Pontuação!$A$5:$V$88,COLUMN(S:S),0))</f>
        <v/>
      </c>
      <c r="T23" s="7" t="str">
        <f>IF(Propostas!$C30="","",VLOOKUP($A23,Pontuação!$A$5:$V$88,COLUMN(T:T),0))</f>
        <v/>
      </c>
      <c r="U23" s="7" t="str">
        <f>IF(Propostas!$C30="","",VLOOKUP($A23,Pontuação!$A$5:$V$88,COLUMN(U:U),0))</f>
        <v/>
      </c>
      <c r="V23" s="7" t="str">
        <f>IF(Propostas!$B30="","",SUM(C23:U23))</f>
        <v/>
      </c>
      <c r="W23" s="11" t="str">
        <f>IF(Propostas!$C30="","",RANK(V23,$V$5:$V$90,0))</f>
        <v/>
      </c>
      <c r="X23" s="13" t="str">
        <f>IF(Propostas!$C30="","",VLOOKUP(B23,Propostas[],3,0))</f>
        <v/>
      </c>
      <c r="Y23" s="13" t="str">
        <f>IF(Propostas!$C30="","",Y22-X23)</f>
        <v/>
      </c>
      <c r="Z23" s="2" t="str">
        <f>IF(Propostas!$C30="","",IF(Y23&gt;0,"S","N"))</f>
        <v/>
      </c>
    </row>
    <row r="24" spans="1:26" x14ac:dyDescent="0.35">
      <c r="A24" s="11" t="str">
        <f>IF(Propostas!$C31="","",ROW(20:20))</f>
        <v/>
      </c>
      <c r="B24" s="1" t="str">
        <f>IF(Propostas!$C31="","",VLOOKUP($A24,Pontuação!$A$5:$V$88,COLUMN(B:B),0))</f>
        <v/>
      </c>
      <c r="C24" s="7" t="str">
        <f>IF(Propostas!$C31="","",VLOOKUP($A24,Pontuação!$A$5:$V$88,COLUMN(C:C),0))</f>
        <v/>
      </c>
      <c r="D24" s="7" t="str">
        <f>IF(Propostas!$C31="","",VLOOKUP($A24,Pontuação!$A$5:$V$88,COLUMN(D:D),0))</f>
        <v/>
      </c>
      <c r="E24" s="7" t="str">
        <f>IF(Propostas!$C31="","",VLOOKUP($A24,Pontuação!$A$5:$V$88,COLUMN(E:E),0))</f>
        <v/>
      </c>
      <c r="F24" s="7" t="str">
        <f>IF(Propostas!$C31="","",VLOOKUP($A24,Pontuação!$A$5:$V$88,COLUMN(F:F),0))</f>
        <v/>
      </c>
      <c r="G24" s="7" t="str">
        <f>IF(Propostas!$C31="","",VLOOKUP($A24,Pontuação!$A$5:$V$88,COLUMN(G:G),0))</f>
        <v/>
      </c>
      <c r="H24" s="7" t="str">
        <f>IF(Propostas!$C31="","",VLOOKUP($A24,Pontuação!$A$5:$V$88,COLUMN(H:H),0))</f>
        <v/>
      </c>
      <c r="I24" s="7" t="str">
        <f>IF(Propostas!$C31="","",VLOOKUP($A24,Pontuação!$A$5:$V$88,COLUMN(I:I),0))</f>
        <v/>
      </c>
      <c r="J24" s="7" t="str">
        <f>IF(Propostas!$C31="","",VLOOKUP($A24,Pontuação!$A$5:$V$88,COLUMN(J:J),0))</f>
        <v/>
      </c>
      <c r="K24" s="7" t="str">
        <f>IF(Propostas!$C31="","",VLOOKUP($A24,Pontuação!$A$5:$V$88,COLUMN(K:K),0))</f>
        <v/>
      </c>
      <c r="L24" s="7" t="str">
        <f>IF(Propostas!$C31="","",VLOOKUP($A24,Pontuação!$A$5:$V$88,COLUMN(L:L),0))</f>
        <v/>
      </c>
      <c r="M24" s="7" t="str">
        <f>IF(Propostas!$C31="","",VLOOKUP($A24,Pontuação!$A$5:$V$88,COLUMN(M:M),0))</f>
        <v/>
      </c>
      <c r="N24" s="7" t="str">
        <f>IF(Propostas!$C31="","",VLOOKUP($A24,Pontuação!$A$5:$V$88,COLUMN(N:N),0))</f>
        <v/>
      </c>
      <c r="O24" s="7" t="str">
        <f>IF(Propostas!$C31="","",VLOOKUP($A24,Pontuação!$A$5:$V$88,COLUMN(O:O),0))</f>
        <v/>
      </c>
      <c r="P24" s="7" t="str">
        <f>IF(Propostas!$C31="","",VLOOKUP($A24,Pontuação!$A$5:$V$88,COLUMN(P:P),0))</f>
        <v/>
      </c>
      <c r="Q24" s="7" t="str">
        <f>IF(Propostas!$C31="","",VLOOKUP($A24,Pontuação!$A$5:$V$88,COLUMN(Q:Q),0))</f>
        <v/>
      </c>
      <c r="R24" s="7" t="str">
        <f>IF(Propostas!$C31="","",VLOOKUP($A24,Pontuação!$A$5:$V$88,COLUMN(R:R),0))</f>
        <v/>
      </c>
      <c r="S24" s="7" t="str">
        <f>IF(Propostas!$C31="","",VLOOKUP($A24,Pontuação!$A$5:$V$88,COLUMN(S:S),0))</f>
        <v/>
      </c>
      <c r="T24" s="7" t="str">
        <f>IF(Propostas!$C31="","",VLOOKUP($A24,Pontuação!$A$5:$V$88,COLUMN(T:T),0))</f>
        <v/>
      </c>
      <c r="U24" s="7" t="str">
        <f>IF(Propostas!$C31="","",VLOOKUP($A24,Pontuação!$A$5:$V$88,COLUMN(U:U),0))</f>
        <v/>
      </c>
      <c r="V24" s="7" t="str">
        <f>IF(Propostas!$B31="","",SUM(C24:U24))</f>
        <v/>
      </c>
      <c r="W24" s="11" t="str">
        <f>IF(Propostas!$C31="","",RANK(V24,$V$5:$V$90,0))</f>
        <v/>
      </c>
      <c r="X24" s="13" t="str">
        <f>IF(Propostas!$C31="","",VLOOKUP(B24,Propostas[],3,0))</f>
        <v/>
      </c>
      <c r="Y24" s="13" t="str">
        <f>IF(Propostas!$C31="","",Y23-X24)</f>
        <v/>
      </c>
      <c r="Z24" s="2" t="str">
        <f>IF(Propostas!$C31="","",IF(Y24&gt;0,"S","N"))</f>
        <v/>
      </c>
    </row>
    <row r="25" spans="1:26" x14ac:dyDescent="0.35">
      <c r="A25" s="11" t="str">
        <f>IF(Propostas!$C32="","",ROW(21:21))</f>
        <v/>
      </c>
      <c r="B25" s="1" t="str">
        <f>IF(Propostas!$C32="","",VLOOKUP($A25,Pontuação!$A$5:$V$88,COLUMN(B:B),0))</f>
        <v/>
      </c>
      <c r="C25" s="7" t="str">
        <f>IF(Propostas!$C32="","",VLOOKUP($A25,Pontuação!$A$5:$V$88,COLUMN(C:C),0))</f>
        <v/>
      </c>
      <c r="D25" s="7" t="str">
        <f>IF(Propostas!$C32="","",VLOOKUP($A25,Pontuação!$A$5:$V$88,COLUMN(D:D),0))</f>
        <v/>
      </c>
      <c r="E25" s="7" t="str">
        <f>IF(Propostas!$C32="","",VLOOKUP($A25,Pontuação!$A$5:$V$88,COLUMN(E:E),0))</f>
        <v/>
      </c>
      <c r="F25" s="7" t="str">
        <f>IF(Propostas!$C32="","",VLOOKUP($A25,Pontuação!$A$5:$V$88,COLUMN(F:F),0))</f>
        <v/>
      </c>
      <c r="G25" s="7" t="str">
        <f>IF(Propostas!$C32="","",VLOOKUP($A25,Pontuação!$A$5:$V$88,COLUMN(G:G),0))</f>
        <v/>
      </c>
      <c r="H25" s="7" t="str">
        <f>IF(Propostas!$C32="","",VLOOKUP($A25,Pontuação!$A$5:$V$88,COLUMN(H:H),0))</f>
        <v/>
      </c>
      <c r="I25" s="7" t="str">
        <f>IF(Propostas!$C32="","",VLOOKUP($A25,Pontuação!$A$5:$V$88,COLUMN(I:I),0))</f>
        <v/>
      </c>
      <c r="J25" s="7" t="str">
        <f>IF(Propostas!$C32="","",VLOOKUP($A25,Pontuação!$A$5:$V$88,COLUMN(J:J),0))</f>
        <v/>
      </c>
      <c r="K25" s="7" t="str">
        <f>IF(Propostas!$C32="","",VLOOKUP($A25,Pontuação!$A$5:$V$88,COLUMN(K:K),0))</f>
        <v/>
      </c>
      <c r="L25" s="7" t="str">
        <f>IF(Propostas!$C32="","",VLOOKUP($A25,Pontuação!$A$5:$V$88,COLUMN(L:L),0))</f>
        <v/>
      </c>
      <c r="M25" s="7" t="str">
        <f>IF(Propostas!$C32="","",VLOOKUP($A25,Pontuação!$A$5:$V$88,COLUMN(M:M),0))</f>
        <v/>
      </c>
      <c r="N25" s="7" t="str">
        <f>IF(Propostas!$C32="","",VLOOKUP($A25,Pontuação!$A$5:$V$88,COLUMN(N:N),0))</f>
        <v/>
      </c>
      <c r="O25" s="7" t="str">
        <f>IF(Propostas!$C32="","",VLOOKUP($A25,Pontuação!$A$5:$V$88,COLUMN(O:O),0))</f>
        <v/>
      </c>
      <c r="P25" s="7" t="str">
        <f>IF(Propostas!$C32="","",VLOOKUP($A25,Pontuação!$A$5:$V$88,COLUMN(P:P),0))</f>
        <v/>
      </c>
      <c r="Q25" s="7" t="str">
        <f>IF(Propostas!$C32="","",VLOOKUP($A25,Pontuação!$A$5:$V$88,COLUMN(Q:Q),0))</f>
        <v/>
      </c>
      <c r="R25" s="7" t="str">
        <f>IF(Propostas!$C32="","",VLOOKUP($A25,Pontuação!$A$5:$V$88,COLUMN(R:R),0))</f>
        <v/>
      </c>
      <c r="S25" s="7" t="str">
        <f>IF(Propostas!$C32="","",VLOOKUP($A25,Pontuação!$A$5:$V$88,COLUMN(S:S),0))</f>
        <v/>
      </c>
      <c r="T25" s="7" t="str">
        <f>IF(Propostas!$C32="","",VLOOKUP($A25,Pontuação!$A$5:$V$88,COLUMN(T:T),0))</f>
        <v/>
      </c>
      <c r="U25" s="7" t="str">
        <f>IF(Propostas!$C32="","",VLOOKUP($A25,Pontuação!$A$5:$V$88,COLUMN(U:U),0))</f>
        <v/>
      </c>
      <c r="V25" s="7" t="str">
        <f>IF(Propostas!$B32="","",SUM(C25:U25))</f>
        <v/>
      </c>
      <c r="W25" s="11" t="str">
        <f>IF(Propostas!$C32="","",RANK(V25,$V$5:$V$90,0))</f>
        <v/>
      </c>
      <c r="X25" s="13" t="str">
        <f>IF(Propostas!$C32="","",VLOOKUP(B25,Propostas[],3,0))</f>
        <v/>
      </c>
      <c r="Y25" s="13" t="str">
        <f>IF(Propostas!$C32="","",Y24-X25)</f>
        <v/>
      </c>
      <c r="Z25" s="2" t="str">
        <f>IF(Propostas!$C32="","",IF(Y25&gt;0,"S","N"))</f>
        <v/>
      </c>
    </row>
  </sheetData>
  <mergeCells count="5">
    <mergeCell ref="O1:R1"/>
    <mergeCell ref="C1:D1"/>
    <mergeCell ref="F1:G1"/>
    <mergeCell ref="H1:K1"/>
    <mergeCell ref="L1:N1"/>
  </mergeCells>
  <conditionalFormatting sqref="Z5:Z25">
    <cfRule type="cellIs" dxfId="1" priority="5" operator="equal">
      <formula>"S"</formula>
    </cfRule>
    <cfRule type="cellIs" dxfId="0" priority="6" operator="equal">
      <formula>"N"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 Uso Interno CPFL&amp;1#_x000D_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Y25"/>
  <sheetViews>
    <sheetView workbookViewId="0">
      <selection activeCell="R17" sqref="R17"/>
    </sheetView>
  </sheetViews>
  <sheetFormatPr defaultColWidth="9.1796875" defaultRowHeight="14.5" x14ac:dyDescent="0.35"/>
  <cols>
    <col min="1" max="16384" width="9.1796875" style="2"/>
  </cols>
  <sheetData>
    <row r="1" spans="1:25" s="34" customFormat="1" x14ac:dyDescent="0.35">
      <c r="C1" s="159" t="s">
        <v>1</v>
      </c>
      <c r="D1" s="159"/>
      <c r="E1" s="1" t="s">
        <v>2</v>
      </c>
      <c r="F1" s="159" t="s">
        <v>3</v>
      </c>
      <c r="G1" s="159"/>
      <c r="H1" s="159" t="s">
        <v>4</v>
      </c>
      <c r="I1" s="159"/>
      <c r="J1" s="159"/>
      <c r="K1" s="159"/>
      <c r="L1" s="159" t="s">
        <v>5</v>
      </c>
      <c r="M1" s="159"/>
      <c r="N1" s="159"/>
      <c r="O1" s="159" t="s">
        <v>6</v>
      </c>
      <c r="P1" s="159"/>
      <c r="Q1" s="159"/>
      <c r="R1" s="159"/>
      <c r="S1" s="1"/>
      <c r="T1" s="1"/>
      <c r="U1" s="1"/>
      <c r="V1" s="1"/>
      <c r="W1" s="1"/>
    </row>
    <row r="2" spans="1:25" x14ac:dyDescent="0.35">
      <c r="A2" s="1"/>
      <c r="B2" s="1"/>
      <c r="C2" s="6" t="s">
        <v>27</v>
      </c>
      <c r="D2" s="6" t="s">
        <v>28</v>
      </c>
      <c r="E2" s="6" t="s">
        <v>2</v>
      </c>
      <c r="F2" s="6" t="s">
        <v>92</v>
      </c>
      <c r="G2" s="6" t="s">
        <v>96</v>
      </c>
      <c r="H2" s="6" t="s">
        <v>86</v>
      </c>
      <c r="I2" s="6" t="s">
        <v>87</v>
      </c>
      <c r="J2" s="6" t="s">
        <v>88</v>
      </c>
      <c r="K2" s="6" t="s">
        <v>89</v>
      </c>
      <c r="L2" s="6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90</v>
      </c>
      <c r="S2" s="6" t="s">
        <v>7</v>
      </c>
      <c r="T2" s="6" t="s">
        <v>35</v>
      </c>
      <c r="U2" s="6" t="s">
        <v>36</v>
      </c>
      <c r="V2" s="6"/>
      <c r="W2" s="6"/>
    </row>
    <row r="3" spans="1:25" s="8" customFormat="1" ht="91" x14ac:dyDescent="0.35">
      <c r="A3" s="9" t="s">
        <v>52</v>
      </c>
      <c r="B3" s="9" t="s">
        <v>0</v>
      </c>
      <c r="C3" s="12" t="s">
        <v>38</v>
      </c>
      <c r="D3" s="12" t="s">
        <v>39</v>
      </c>
      <c r="E3" s="12" t="s">
        <v>40</v>
      </c>
      <c r="F3" s="12" t="s">
        <v>93</v>
      </c>
      <c r="G3" s="12" t="s">
        <v>94</v>
      </c>
      <c r="H3" s="12" t="s">
        <v>41</v>
      </c>
      <c r="I3" s="12" t="s">
        <v>9</v>
      </c>
      <c r="J3" s="12" t="s">
        <v>42</v>
      </c>
      <c r="K3" s="12" t="s">
        <v>51</v>
      </c>
      <c r="L3" s="12" t="s">
        <v>44</v>
      </c>
      <c r="M3" s="12" t="s">
        <v>45</v>
      </c>
      <c r="N3" s="12" t="s">
        <v>46</v>
      </c>
      <c r="O3" s="12" t="s">
        <v>80</v>
      </c>
      <c r="P3" s="12" t="s">
        <v>81</v>
      </c>
      <c r="Q3" s="12" t="s">
        <v>82</v>
      </c>
      <c r="R3" s="12" t="s">
        <v>83</v>
      </c>
      <c r="S3" s="12" t="s">
        <v>48</v>
      </c>
      <c r="T3" s="12" t="s">
        <v>97</v>
      </c>
      <c r="U3" s="12" t="s">
        <v>58</v>
      </c>
      <c r="V3" s="12" t="s">
        <v>50</v>
      </c>
      <c r="W3" s="12" t="s">
        <v>52</v>
      </c>
    </row>
    <row r="4" spans="1:25" x14ac:dyDescent="0.35">
      <c r="A4" s="11" t="str">
        <f>IF(Propostas!$C12="","",ROW(1:1))</f>
        <v/>
      </c>
      <c r="B4" s="34" t="str">
        <f>IF(Propostas!$C12="","",VLOOKUP($A4,Pontuação!$A$5:$V$88,COLUMN(B:B),0))</f>
        <v/>
      </c>
      <c r="C4" s="11" t="str">
        <f>IFERROR(RANK(Ordenada!C5,Ordenada!C$5:C$90,0),"")</f>
        <v/>
      </c>
      <c r="D4" s="11" t="str">
        <f>IFERROR(RANK(Ordenada!D5,Ordenada!D$5:D$90,0),"")</f>
        <v/>
      </c>
      <c r="E4" s="11" t="str">
        <f>IFERROR(RANK(Ordenada!E5,Ordenada!E$5:E$90,0),"")</f>
        <v/>
      </c>
      <c r="F4" s="11" t="str">
        <f>IFERROR(RANK(Ordenada!F5,Ordenada!F$5:F$90,0),"")</f>
        <v/>
      </c>
      <c r="G4" s="11" t="str">
        <f>IFERROR(RANK(Ordenada!G5,Ordenada!G$5:G$90,0),"")</f>
        <v/>
      </c>
      <c r="H4" s="11" t="str">
        <f>IFERROR(RANK(Ordenada!H5,Ordenada!H$5:H$90,0),"")</f>
        <v/>
      </c>
      <c r="I4" s="11" t="str">
        <f>IFERROR(RANK(Ordenada!I5,Ordenada!I$5:I$90,0),"")</f>
        <v/>
      </c>
      <c r="J4" s="11" t="str">
        <f>IFERROR(RANK(Ordenada!J5,Ordenada!J$5:J$90,0),"")</f>
        <v/>
      </c>
      <c r="K4" s="11" t="str">
        <f>IFERROR(RANK(Ordenada!K5,Ordenada!K$5:K$90,0),"")</f>
        <v/>
      </c>
      <c r="L4" s="11" t="str">
        <f>IFERROR(RANK(Ordenada!L5,Ordenada!L$5:L$90,0),"")</f>
        <v/>
      </c>
      <c r="M4" s="11" t="str">
        <f>IFERROR(RANK(Ordenada!M5,Ordenada!M$5:M$90,0),"")</f>
        <v/>
      </c>
      <c r="N4" s="11" t="str">
        <f>IFERROR(RANK(Ordenada!N5,Ordenada!N$5:N$90,0),"")</f>
        <v/>
      </c>
      <c r="O4" s="11" t="str">
        <f>IFERROR(RANK(Ordenada!O5,Ordenada!O$5:O$90,0),"")</f>
        <v/>
      </c>
      <c r="P4" s="11" t="str">
        <f>IFERROR(RANK(Ordenada!P5,Ordenada!P$5:P$90,0),"")</f>
        <v/>
      </c>
      <c r="Q4" s="11" t="str">
        <f>IFERROR(RANK(Ordenada!Q5,Ordenada!Q$5:Q$90,0),"")</f>
        <v/>
      </c>
      <c r="R4" s="11" t="str">
        <f>IFERROR(RANK(Ordenada!O5,Ordenada!O$5:O$90,0),"")</f>
        <v/>
      </c>
      <c r="S4" s="11" t="str">
        <f>IFERROR(RANK(Ordenada!S5,Ordenada!S$5:S$90,0),"")</f>
        <v/>
      </c>
      <c r="T4" s="11" t="str">
        <f>IFERROR(RANK(Ordenada!T5,Ordenada!T$5:T$90,0),"")</f>
        <v/>
      </c>
      <c r="U4" s="11" t="str">
        <f>IFERROR(RANK(Ordenada!U5,Ordenada!U$5:U$90,0),"")</f>
        <v/>
      </c>
      <c r="V4" s="11" t="str">
        <f>IFERROR(RANK(Ordenada!V5,Ordenada!V$5:V$90,0),"")</f>
        <v/>
      </c>
      <c r="W4" s="11" t="str">
        <f>IFERROR(RANK(Ordenada!W5,Ordenada!W$5:W$90,1),"")</f>
        <v/>
      </c>
      <c r="Y4" s="11"/>
    </row>
    <row r="5" spans="1:25" x14ac:dyDescent="0.35">
      <c r="A5" s="11" t="str">
        <f>IF(Propostas!$C13="","",ROW(2:2))</f>
        <v/>
      </c>
      <c r="B5" s="34" t="str">
        <f>IF(Propostas!$C13="","",VLOOKUP($A5,Pontuação!$A$5:$V$88,COLUMN(B:B),0))</f>
        <v/>
      </c>
      <c r="C5" s="11" t="str">
        <f>IFERROR(RANK(Ordenada!C6,Ordenada!C$5:C$90,0),"")</f>
        <v/>
      </c>
      <c r="D5" s="11" t="str">
        <f>IFERROR(RANK(Ordenada!D6,Ordenada!D$5:D$90,0),"")</f>
        <v/>
      </c>
      <c r="E5" s="11" t="str">
        <f>IFERROR(RANK(Ordenada!E6,Ordenada!E$5:E$90,0),"")</f>
        <v/>
      </c>
      <c r="F5" s="11" t="str">
        <f>IFERROR(RANK(Ordenada!F6,Ordenada!F$5:F$90,0),"")</f>
        <v/>
      </c>
      <c r="G5" s="11" t="str">
        <f>IFERROR(RANK(Ordenada!G6,Ordenada!G$5:G$90,0),"")</f>
        <v/>
      </c>
      <c r="H5" s="11" t="str">
        <f>IFERROR(RANK(Ordenada!H6,Ordenada!H$5:H$90,0),"")</f>
        <v/>
      </c>
      <c r="I5" s="11" t="str">
        <f>IFERROR(RANK(Ordenada!I6,Ordenada!I$5:I$90,0),"")</f>
        <v/>
      </c>
      <c r="J5" s="11" t="str">
        <f>IFERROR(RANK(Ordenada!J6,Ordenada!J$5:J$90,0),"")</f>
        <v/>
      </c>
      <c r="K5" s="11" t="str">
        <f>IFERROR(RANK(Ordenada!K6,Ordenada!K$5:K$90,0),"")</f>
        <v/>
      </c>
      <c r="L5" s="11" t="str">
        <f>IFERROR(RANK(Ordenada!L6,Ordenada!L$5:L$90,0),"")</f>
        <v/>
      </c>
      <c r="M5" s="11" t="str">
        <f>IFERROR(RANK(Ordenada!M6,Ordenada!M$5:M$90,0),"")</f>
        <v/>
      </c>
      <c r="N5" s="11" t="str">
        <f>IFERROR(RANK(Ordenada!N6,Ordenada!N$5:N$90,0),"")</f>
        <v/>
      </c>
      <c r="O5" s="11" t="str">
        <f>IFERROR(RANK(Ordenada!O6,Ordenada!O$5:O$90,0),"")</f>
        <v/>
      </c>
      <c r="P5" s="11" t="str">
        <f>IFERROR(RANK(Ordenada!P6,Ordenada!P$5:P$90,0),"")</f>
        <v/>
      </c>
      <c r="Q5" s="11" t="str">
        <f>IFERROR(RANK(Ordenada!Q6,Ordenada!Q$5:Q$90,0),"")</f>
        <v/>
      </c>
      <c r="R5" s="11" t="str">
        <f>IFERROR(RANK(Ordenada!O6,Ordenada!O$5:O$90,0),"")</f>
        <v/>
      </c>
      <c r="S5" s="11" t="str">
        <f>IFERROR(RANK(Ordenada!S6,Ordenada!S$5:S$90,0),"")</f>
        <v/>
      </c>
      <c r="T5" s="11" t="str">
        <f>IFERROR(RANK(Ordenada!T6,Ordenada!T$5:T$90,0),"")</f>
        <v/>
      </c>
      <c r="U5" s="11" t="str">
        <f>IFERROR(RANK(Ordenada!U6,Ordenada!U$5:U$90,0),"")</f>
        <v/>
      </c>
      <c r="V5" s="11" t="str">
        <f>IFERROR(RANK(Ordenada!V6,Ordenada!V$5:V$90,0),"")</f>
        <v/>
      </c>
      <c r="W5" s="67" t="str">
        <f>IFERROR(RANK(Ordenada!W6,Ordenada!W$5:W$90,1),"")</f>
        <v/>
      </c>
      <c r="Y5" s="11"/>
    </row>
    <row r="6" spans="1:25" x14ac:dyDescent="0.35">
      <c r="A6" s="11" t="str">
        <f>IF(Propostas!$C14="","",ROW(3:3))</f>
        <v/>
      </c>
      <c r="B6" s="34" t="str">
        <f>IF(Propostas!$C14="","",VLOOKUP($A6,Pontuação!$A$5:$V$88,COLUMN(B:B),0))</f>
        <v/>
      </c>
      <c r="C6" s="11" t="str">
        <f>IFERROR(RANK(Ordenada!C7,Ordenada!C$5:C$90,0),"")</f>
        <v/>
      </c>
      <c r="D6" s="11" t="str">
        <f>IFERROR(RANK(Ordenada!D7,Ordenada!D$5:D$90,0),"")</f>
        <v/>
      </c>
      <c r="E6" s="11" t="str">
        <f>IFERROR(RANK(Ordenada!E7,Ordenada!E$5:E$90,0),"")</f>
        <v/>
      </c>
      <c r="F6" s="11" t="str">
        <f>IFERROR(RANK(Ordenada!F7,Ordenada!F$5:F$90,0),"")</f>
        <v/>
      </c>
      <c r="G6" s="11" t="str">
        <f>IFERROR(RANK(Ordenada!G7,Ordenada!G$5:G$90,0),"")</f>
        <v/>
      </c>
      <c r="H6" s="11" t="str">
        <f>IFERROR(RANK(Ordenada!H7,Ordenada!H$5:H$90,0),"")</f>
        <v/>
      </c>
      <c r="I6" s="11" t="str">
        <f>IFERROR(RANK(Ordenada!I7,Ordenada!I$5:I$90,0),"")</f>
        <v/>
      </c>
      <c r="J6" s="11" t="str">
        <f>IFERROR(RANK(Ordenada!J7,Ordenada!J$5:J$90,0),"")</f>
        <v/>
      </c>
      <c r="K6" s="11" t="str">
        <f>IFERROR(RANK(Ordenada!K7,Ordenada!K$5:K$90,0),"")</f>
        <v/>
      </c>
      <c r="L6" s="11" t="str">
        <f>IFERROR(RANK(Ordenada!L7,Ordenada!L$5:L$90,0),"")</f>
        <v/>
      </c>
      <c r="M6" s="11" t="str">
        <f>IFERROR(RANK(Ordenada!M7,Ordenada!M$5:M$90,0),"")</f>
        <v/>
      </c>
      <c r="N6" s="11" t="str">
        <f>IFERROR(RANK(Ordenada!N7,Ordenada!N$5:N$90,0),"")</f>
        <v/>
      </c>
      <c r="O6" s="11" t="str">
        <f>IFERROR(RANK(Ordenada!O7,Ordenada!O$5:O$90,0),"")</f>
        <v/>
      </c>
      <c r="P6" s="11" t="str">
        <f>IFERROR(RANK(Ordenada!P7,Ordenada!P$5:P$90,0),"")</f>
        <v/>
      </c>
      <c r="Q6" s="11" t="str">
        <f>IFERROR(RANK(Ordenada!Q7,Ordenada!Q$5:Q$90,0),"")</f>
        <v/>
      </c>
      <c r="R6" s="11" t="str">
        <f>IFERROR(RANK(Ordenada!O7,Ordenada!O$5:O$90,0),"")</f>
        <v/>
      </c>
      <c r="S6" s="11" t="str">
        <f>IFERROR(RANK(Ordenada!S7,Ordenada!S$5:S$90,0),"")</f>
        <v/>
      </c>
      <c r="T6" s="11" t="str">
        <f>IFERROR(RANK(Ordenada!T7,Ordenada!T$5:T$90,0),"")</f>
        <v/>
      </c>
      <c r="U6" s="11" t="str">
        <f>IFERROR(RANK(Ordenada!U7,Ordenada!U$5:U$90,0),"")</f>
        <v/>
      </c>
      <c r="V6" s="11" t="str">
        <f>IFERROR(RANK(Ordenada!V7,Ordenada!V$5:V$90,0),"")</f>
        <v/>
      </c>
      <c r="W6" s="11" t="str">
        <f>IFERROR(RANK(Ordenada!W7,Ordenada!W$5:W$90,1),"")</f>
        <v/>
      </c>
      <c r="Y6" s="11"/>
    </row>
    <row r="7" spans="1:25" x14ac:dyDescent="0.35">
      <c r="A7" s="11" t="str">
        <f>IF(Propostas!$C15="","",ROW(4:4))</f>
        <v/>
      </c>
      <c r="B7" s="34" t="str">
        <f>IF(Propostas!$C15="","",VLOOKUP($A7,Pontuação!$A$5:$V$88,COLUMN(B:B),0))</f>
        <v/>
      </c>
      <c r="C7" s="11" t="str">
        <f>IFERROR(RANK(Ordenada!C8,Ordenada!C$5:C$90,0),"")</f>
        <v/>
      </c>
      <c r="D7" s="11" t="str">
        <f>IFERROR(RANK(Ordenada!D8,Ordenada!D$5:D$90,0),"")</f>
        <v/>
      </c>
      <c r="E7" s="11" t="str">
        <f>IFERROR(RANK(Ordenada!E8,Ordenada!E$5:E$90,0),"")</f>
        <v/>
      </c>
      <c r="F7" s="11" t="str">
        <f>IFERROR(RANK(Ordenada!F8,Ordenada!F$5:F$90,0),"")</f>
        <v/>
      </c>
      <c r="G7" s="11" t="str">
        <f>IFERROR(RANK(Ordenada!G8,Ordenada!G$5:G$90,0),"")</f>
        <v/>
      </c>
      <c r="H7" s="11" t="str">
        <f>IFERROR(RANK(Ordenada!H8,Ordenada!H$5:H$90,0),"")</f>
        <v/>
      </c>
      <c r="I7" s="11" t="str">
        <f>IFERROR(RANK(Ordenada!I8,Ordenada!I$5:I$90,0),"")</f>
        <v/>
      </c>
      <c r="J7" s="11" t="str">
        <f>IFERROR(RANK(Ordenada!J8,Ordenada!J$5:J$90,0),"")</f>
        <v/>
      </c>
      <c r="K7" s="11" t="str">
        <f>IFERROR(RANK(Ordenada!K8,Ordenada!K$5:K$90,0),"")</f>
        <v/>
      </c>
      <c r="L7" s="11" t="str">
        <f>IFERROR(RANK(Ordenada!L8,Ordenada!L$5:L$90,0),"")</f>
        <v/>
      </c>
      <c r="M7" s="11" t="str">
        <f>IFERROR(RANK(Ordenada!M8,Ordenada!M$5:M$90,0),"")</f>
        <v/>
      </c>
      <c r="N7" s="11" t="str">
        <f>IFERROR(RANK(Ordenada!N8,Ordenada!N$5:N$90,0),"")</f>
        <v/>
      </c>
      <c r="O7" s="11" t="str">
        <f>IFERROR(RANK(Ordenada!O8,Ordenada!O$5:O$90,0),"")</f>
        <v/>
      </c>
      <c r="P7" s="11" t="str">
        <f>IFERROR(RANK(Ordenada!P8,Ordenada!P$5:P$90,0),"")</f>
        <v/>
      </c>
      <c r="Q7" s="11" t="str">
        <f>IFERROR(RANK(Ordenada!Q8,Ordenada!Q$5:Q$90,0),"")</f>
        <v/>
      </c>
      <c r="R7" s="11" t="str">
        <f>IFERROR(RANK(Ordenada!O8,Ordenada!O$5:O$90,0),"")</f>
        <v/>
      </c>
      <c r="S7" s="11" t="str">
        <f>IFERROR(RANK(Ordenada!S8,Ordenada!S$5:S$90,0),"")</f>
        <v/>
      </c>
      <c r="T7" s="11" t="str">
        <f>IFERROR(RANK(Ordenada!T8,Ordenada!T$5:T$90,0),"")</f>
        <v/>
      </c>
      <c r="U7" s="11" t="str">
        <f>IFERROR(RANK(Ordenada!U8,Ordenada!U$5:U$90,0),"")</f>
        <v/>
      </c>
      <c r="V7" s="11" t="str">
        <f>IFERROR(RANK(Ordenada!V8,Ordenada!V$5:V$90,0),"")</f>
        <v/>
      </c>
      <c r="W7" s="11" t="str">
        <f>IFERROR(RANK(Ordenada!W8,Ordenada!W$5:W$90,1),"")</f>
        <v/>
      </c>
      <c r="Y7" s="11"/>
    </row>
    <row r="8" spans="1:25" x14ac:dyDescent="0.35">
      <c r="A8" s="11" t="str">
        <f>IF(Propostas!$C16="","",ROW(5:5))</f>
        <v/>
      </c>
      <c r="B8" s="34" t="str">
        <f>IF(Propostas!$C16="","",VLOOKUP($A8,Pontuação!$A$5:$V$88,COLUMN(B:B),0))</f>
        <v/>
      </c>
      <c r="C8" s="11" t="str">
        <f>IFERROR(RANK(Ordenada!C9,Ordenada!C$5:C$90,0),"")</f>
        <v/>
      </c>
      <c r="D8" s="11" t="str">
        <f>IFERROR(RANK(Ordenada!D9,Ordenada!D$5:D$90,0),"")</f>
        <v/>
      </c>
      <c r="E8" s="11" t="str">
        <f>IFERROR(RANK(Ordenada!E9,Ordenada!E$5:E$90,0),"")</f>
        <v/>
      </c>
      <c r="F8" s="11" t="str">
        <f>IFERROR(RANK(Ordenada!F9,Ordenada!F$5:F$90,0),"")</f>
        <v/>
      </c>
      <c r="G8" s="11" t="str">
        <f>IFERROR(RANK(Ordenada!G9,Ordenada!G$5:G$90,0),"")</f>
        <v/>
      </c>
      <c r="H8" s="11" t="str">
        <f>IFERROR(RANK(Ordenada!H9,Ordenada!H$5:H$90,0),"")</f>
        <v/>
      </c>
      <c r="I8" s="11" t="str">
        <f>IFERROR(RANK(Ordenada!I9,Ordenada!I$5:I$90,0),"")</f>
        <v/>
      </c>
      <c r="J8" s="11" t="str">
        <f>IFERROR(RANK(Ordenada!J9,Ordenada!J$5:J$90,0),"")</f>
        <v/>
      </c>
      <c r="K8" s="11" t="str">
        <f>IFERROR(RANK(Ordenada!K9,Ordenada!K$5:K$90,0),"")</f>
        <v/>
      </c>
      <c r="L8" s="11" t="str">
        <f>IFERROR(RANK(Ordenada!L9,Ordenada!L$5:L$90,0),"")</f>
        <v/>
      </c>
      <c r="M8" s="11" t="str">
        <f>IFERROR(RANK(Ordenada!M9,Ordenada!M$5:M$90,0),"")</f>
        <v/>
      </c>
      <c r="N8" s="11" t="str">
        <f>IFERROR(RANK(Ordenada!N9,Ordenada!N$5:N$90,0),"")</f>
        <v/>
      </c>
      <c r="O8" s="11" t="str">
        <f>IFERROR(RANK(Ordenada!O9,Ordenada!O$5:O$90,0),"")</f>
        <v/>
      </c>
      <c r="P8" s="11" t="str">
        <f>IFERROR(RANK(Ordenada!P9,Ordenada!P$5:P$90,0),"")</f>
        <v/>
      </c>
      <c r="Q8" s="11" t="str">
        <f>IFERROR(RANK(Ordenada!Q9,Ordenada!Q$5:Q$90,0),"")</f>
        <v/>
      </c>
      <c r="R8" s="11" t="str">
        <f>IFERROR(RANK(Ordenada!O9,Ordenada!O$5:O$90,0),"")</f>
        <v/>
      </c>
      <c r="S8" s="11" t="str">
        <f>IFERROR(RANK(Ordenada!S9,Ordenada!S$5:S$90,0),"")</f>
        <v/>
      </c>
      <c r="T8" s="11" t="str">
        <f>IFERROR(RANK(Ordenada!T9,Ordenada!T$5:T$90,0),"")</f>
        <v/>
      </c>
      <c r="U8" s="11" t="str">
        <f>IFERROR(RANK(Ordenada!U9,Ordenada!U$5:U$90,0),"")</f>
        <v/>
      </c>
      <c r="V8" s="11" t="str">
        <f>IFERROR(RANK(Ordenada!V9,Ordenada!V$5:V$90,0),"")</f>
        <v/>
      </c>
      <c r="W8" s="11" t="str">
        <f>IFERROR(RANK(Ordenada!W9,Ordenada!W$5:W$90,1),"")</f>
        <v/>
      </c>
      <c r="Y8" s="11"/>
    </row>
    <row r="9" spans="1:25" x14ac:dyDescent="0.35">
      <c r="A9" s="11" t="str">
        <f>IF(Propostas!$C17="","",ROW(6:6))</f>
        <v/>
      </c>
      <c r="B9" s="34" t="str">
        <f>IF(Propostas!$C17="","",VLOOKUP($A9,Pontuação!$A$5:$V$88,COLUMN(B:B),0))</f>
        <v/>
      </c>
      <c r="C9" s="11" t="str">
        <f>IFERROR(RANK(Ordenada!C10,Ordenada!C$5:C$90,0),"")</f>
        <v/>
      </c>
      <c r="D9" s="11" t="str">
        <f>IFERROR(RANK(Ordenada!D10,Ordenada!D$5:D$90,0),"")</f>
        <v/>
      </c>
      <c r="E9" s="11" t="str">
        <f>IFERROR(RANK(Ordenada!E10,Ordenada!E$5:E$90,0),"")</f>
        <v/>
      </c>
      <c r="F9" s="11" t="str">
        <f>IFERROR(RANK(Ordenada!F10,Ordenada!F$5:F$90,0),"")</f>
        <v/>
      </c>
      <c r="G9" s="11" t="str">
        <f>IFERROR(RANK(Ordenada!G10,Ordenada!G$5:G$90,0),"")</f>
        <v/>
      </c>
      <c r="H9" s="11" t="str">
        <f>IFERROR(RANK(Ordenada!H10,Ordenada!H$5:H$90,0),"")</f>
        <v/>
      </c>
      <c r="I9" s="11" t="str">
        <f>IFERROR(RANK(Ordenada!I10,Ordenada!I$5:I$90,0),"")</f>
        <v/>
      </c>
      <c r="J9" s="11" t="str">
        <f>IFERROR(RANK(Ordenada!J10,Ordenada!J$5:J$90,0),"")</f>
        <v/>
      </c>
      <c r="K9" s="11" t="str">
        <f>IFERROR(RANK(Ordenada!K10,Ordenada!K$5:K$90,0),"")</f>
        <v/>
      </c>
      <c r="L9" s="11" t="str">
        <f>IFERROR(RANK(Ordenada!L10,Ordenada!L$5:L$90,0),"")</f>
        <v/>
      </c>
      <c r="M9" s="11" t="str">
        <f>IFERROR(RANK(Ordenada!M10,Ordenada!M$5:M$90,0),"")</f>
        <v/>
      </c>
      <c r="N9" s="11" t="str">
        <f>IFERROR(RANK(Ordenada!N10,Ordenada!N$5:N$90,0),"")</f>
        <v/>
      </c>
      <c r="O9" s="11" t="str">
        <f>IFERROR(RANK(Ordenada!O10,Ordenada!O$5:O$90,0),"")</f>
        <v/>
      </c>
      <c r="P9" s="11" t="str">
        <f>IFERROR(RANK(Ordenada!P10,Ordenada!P$5:P$90,0),"")</f>
        <v/>
      </c>
      <c r="Q9" s="11" t="str">
        <f>IFERROR(RANK(Ordenada!Q10,Ordenada!Q$5:Q$90,0),"")</f>
        <v/>
      </c>
      <c r="R9" s="11" t="str">
        <f>IFERROR(RANK(Ordenada!O10,Ordenada!O$5:O$90,0),"")</f>
        <v/>
      </c>
      <c r="S9" s="11" t="str">
        <f>IFERROR(RANK(Ordenada!S10,Ordenada!S$5:S$90,0),"")</f>
        <v/>
      </c>
      <c r="T9" s="11" t="str">
        <f>IFERROR(RANK(Ordenada!T10,Ordenada!T$5:T$90,0),"")</f>
        <v/>
      </c>
      <c r="U9" s="11" t="str">
        <f>IFERROR(RANK(Ordenada!U10,Ordenada!U$5:U$90,0),"")</f>
        <v/>
      </c>
      <c r="V9" s="11" t="str">
        <f>IFERROR(RANK(Ordenada!V10,Ordenada!V$5:V$90,0),"")</f>
        <v/>
      </c>
      <c r="W9" s="11" t="str">
        <f>IFERROR(RANK(Ordenada!W10,Ordenada!W$5:W$90,1),"")</f>
        <v/>
      </c>
      <c r="Y9" s="11"/>
    </row>
    <row r="10" spans="1:25" x14ac:dyDescent="0.35">
      <c r="A10" s="11" t="str">
        <f>IF(Propostas!$C18="","",ROW(7:7))</f>
        <v/>
      </c>
      <c r="B10" s="34" t="str">
        <f>IF(Propostas!$C18="","",VLOOKUP($A10,Pontuação!$A$5:$V$88,COLUMN(B:B),0))</f>
        <v/>
      </c>
      <c r="C10" s="11" t="str">
        <f>IFERROR(RANK(Ordenada!C11,Ordenada!C$5:C$90,0),"")</f>
        <v/>
      </c>
      <c r="D10" s="11" t="str">
        <f>IFERROR(RANK(Ordenada!D11,Ordenada!D$5:D$90,0),"")</f>
        <v/>
      </c>
      <c r="E10" s="11" t="str">
        <f>IFERROR(RANK(Ordenada!E11,Ordenada!E$5:E$90,0),"")</f>
        <v/>
      </c>
      <c r="F10" s="11" t="str">
        <f>IFERROR(RANK(Ordenada!F11,Ordenada!F$5:F$90,0),"")</f>
        <v/>
      </c>
      <c r="G10" s="11" t="str">
        <f>IFERROR(RANK(Ordenada!G11,Ordenada!G$5:G$90,0),"")</f>
        <v/>
      </c>
      <c r="H10" s="11" t="str">
        <f>IFERROR(RANK(Ordenada!H11,Ordenada!H$5:H$90,0),"")</f>
        <v/>
      </c>
      <c r="I10" s="11" t="str">
        <f>IFERROR(RANK(Ordenada!I11,Ordenada!I$5:I$90,0),"")</f>
        <v/>
      </c>
      <c r="J10" s="11" t="str">
        <f>IFERROR(RANK(Ordenada!J11,Ordenada!J$5:J$90,0),"")</f>
        <v/>
      </c>
      <c r="K10" s="11" t="str">
        <f>IFERROR(RANK(Ordenada!K11,Ordenada!K$5:K$90,0),"")</f>
        <v/>
      </c>
      <c r="L10" s="11" t="str">
        <f>IFERROR(RANK(Ordenada!L11,Ordenada!L$5:L$90,0),"")</f>
        <v/>
      </c>
      <c r="M10" s="11" t="str">
        <f>IFERROR(RANK(Ordenada!M11,Ordenada!M$5:M$90,0),"")</f>
        <v/>
      </c>
      <c r="N10" s="11" t="str">
        <f>IFERROR(RANK(Ordenada!N11,Ordenada!N$5:N$90,0),"")</f>
        <v/>
      </c>
      <c r="O10" s="11" t="str">
        <f>IFERROR(RANK(Ordenada!O11,Ordenada!O$5:O$90,0),"")</f>
        <v/>
      </c>
      <c r="P10" s="11" t="str">
        <f>IFERROR(RANK(Ordenada!P11,Ordenada!P$5:P$90,0),"")</f>
        <v/>
      </c>
      <c r="Q10" s="11" t="str">
        <f>IFERROR(RANK(Ordenada!Q11,Ordenada!Q$5:Q$90,0),"")</f>
        <v/>
      </c>
      <c r="R10" s="11" t="str">
        <f>IFERROR(RANK(Ordenada!O11,Ordenada!O$5:O$90,0),"")</f>
        <v/>
      </c>
      <c r="S10" s="11" t="str">
        <f>IFERROR(RANK(Ordenada!S11,Ordenada!S$5:S$90,0),"")</f>
        <v/>
      </c>
      <c r="T10" s="11" t="str">
        <f>IFERROR(RANK(Ordenada!T11,Ordenada!T$5:T$90,0),"")</f>
        <v/>
      </c>
      <c r="U10" s="11" t="str">
        <f>IFERROR(RANK(Ordenada!U11,Ordenada!U$5:U$90,0),"")</f>
        <v/>
      </c>
      <c r="V10" s="11" t="str">
        <f>IFERROR(RANK(Ordenada!V11,Ordenada!V$5:V$90,0),"")</f>
        <v/>
      </c>
      <c r="W10" s="11" t="str">
        <f>IFERROR(RANK(Ordenada!W11,Ordenada!W$5:W$90,1),"")</f>
        <v/>
      </c>
      <c r="Y10" s="11"/>
    </row>
    <row r="11" spans="1:25" x14ac:dyDescent="0.35">
      <c r="A11" s="11" t="str">
        <f>IF(Propostas!$C19="","",ROW(8:8))</f>
        <v/>
      </c>
      <c r="B11" s="34" t="str">
        <f>IF(Propostas!$C19="","",VLOOKUP($A11,Pontuação!$A$5:$V$88,COLUMN(B:B),0))</f>
        <v/>
      </c>
      <c r="C11" s="11" t="str">
        <f>IFERROR(RANK(Ordenada!C12,Ordenada!C$5:C$90,0),"")</f>
        <v/>
      </c>
      <c r="D11" s="11" t="str">
        <f>IFERROR(RANK(Ordenada!D12,Ordenada!D$5:D$90,0),"")</f>
        <v/>
      </c>
      <c r="E11" s="11" t="str">
        <f>IFERROR(RANK(Ordenada!E12,Ordenada!E$5:E$90,0),"")</f>
        <v/>
      </c>
      <c r="F11" s="11" t="str">
        <f>IFERROR(RANK(Ordenada!F12,Ordenada!F$5:F$90,0),"")</f>
        <v/>
      </c>
      <c r="G11" s="11" t="str">
        <f>IFERROR(RANK(Ordenada!G12,Ordenada!G$5:G$90,0),"")</f>
        <v/>
      </c>
      <c r="H11" s="11" t="str">
        <f>IFERROR(RANK(Ordenada!H12,Ordenada!H$5:H$90,0),"")</f>
        <v/>
      </c>
      <c r="I11" s="11" t="str">
        <f>IFERROR(RANK(Ordenada!I12,Ordenada!I$5:I$90,0),"")</f>
        <v/>
      </c>
      <c r="J11" s="11" t="str">
        <f>IFERROR(RANK(Ordenada!J12,Ordenada!J$5:J$90,0),"")</f>
        <v/>
      </c>
      <c r="K11" s="11" t="str">
        <f>IFERROR(RANK(Ordenada!K12,Ordenada!K$5:K$90,0),"")</f>
        <v/>
      </c>
      <c r="L11" s="11" t="str">
        <f>IFERROR(RANK(Ordenada!L12,Ordenada!L$5:L$90,0),"")</f>
        <v/>
      </c>
      <c r="M11" s="11" t="str">
        <f>IFERROR(RANK(Ordenada!M12,Ordenada!M$5:M$90,0),"")</f>
        <v/>
      </c>
      <c r="N11" s="11" t="str">
        <f>IFERROR(RANK(Ordenada!N12,Ordenada!N$5:N$90,0),"")</f>
        <v/>
      </c>
      <c r="O11" s="11" t="str">
        <f>IFERROR(RANK(Ordenada!O12,Ordenada!O$5:O$90,0),"")</f>
        <v/>
      </c>
      <c r="P11" s="11" t="str">
        <f>IFERROR(RANK(Ordenada!P12,Ordenada!P$5:P$90,0),"")</f>
        <v/>
      </c>
      <c r="Q11" s="11" t="str">
        <f>IFERROR(RANK(Ordenada!Q12,Ordenada!Q$5:Q$90,0),"")</f>
        <v/>
      </c>
      <c r="R11" s="11" t="str">
        <f>IFERROR(RANK(Ordenada!O12,Ordenada!O$5:O$90,0),"")</f>
        <v/>
      </c>
      <c r="S11" s="11" t="str">
        <f>IFERROR(RANK(Ordenada!S12,Ordenada!S$5:S$90,0),"")</f>
        <v/>
      </c>
      <c r="T11" s="11" t="str">
        <f>IFERROR(RANK(Ordenada!T12,Ordenada!T$5:T$90,0),"")</f>
        <v/>
      </c>
      <c r="U11" s="11" t="str">
        <f>IFERROR(RANK(Ordenada!U12,Ordenada!U$5:U$90,0),"")</f>
        <v/>
      </c>
      <c r="V11" s="11" t="str">
        <f>IFERROR(RANK(Ordenada!V12,Ordenada!V$5:V$90,0),"")</f>
        <v/>
      </c>
      <c r="W11" s="11" t="str">
        <f>IFERROR(RANK(Ordenada!W12,Ordenada!W$5:W$90,1),"")</f>
        <v/>
      </c>
      <c r="Y11" s="11"/>
    </row>
    <row r="12" spans="1:25" x14ac:dyDescent="0.35">
      <c r="A12" s="11" t="str">
        <f>IF(Propostas!$C20="","",ROW(9:9))</f>
        <v/>
      </c>
      <c r="B12" s="34" t="str">
        <f>IF(Propostas!$C20="","",VLOOKUP($A12,Pontuação!$A$5:$V$88,COLUMN(B:B),0))</f>
        <v/>
      </c>
      <c r="C12" s="11" t="str">
        <f>IFERROR(RANK(Ordenada!C13,Ordenada!C$5:C$90,0),"")</f>
        <v/>
      </c>
      <c r="D12" s="11" t="str">
        <f>IFERROR(RANK(Ordenada!D13,Ordenada!D$5:D$90,0),"")</f>
        <v/>
      </c>
      <c r="E12" s="11" t="str">
        <f>IFERROR(RANK(Ordenada!E13,Ordenada!E$5:E$90,0),"")</f>
        <v/>
      </c>
      <c r="F12" s="11" t="str">
        <f>IFERROR(RANK(Ordenada!F13,Ordenada!F$5:F$90,0),"")</f>
        <v/>
      </c>
      <c r="G12" s="11" t="str">
        <f>IFERROR(RANK(Ordenada!G13,Ordenada!G$5:G$90,0),"")</f>
        <v/>
      </c>
      <c r="H12" s="11" t="str">
        <f>IFERROR(RANK(Ordenada!H13,Ordenada!H$5:H$90,0),"")</f>
        <v/>
      </c>
      <c r="I12" s="11" t="str">
        <f>IFERROR(RANK(Ordenada!I13,Ordenada!I$5:I$90,0),"")</f>
        <v/>
      </c>
      <c r="J12" s="11" t="str">
        <f>IFERROR(RANK(Ordenada!J13,Ordenada!J$5:J$90,0),"")</f>
        <v/>
      </c>
      <c r="K12" s="11" t="str">
        <f>IFERROR(RANK(Ordenada!K13,Ordenada!K$5:K$90,0),"")</f>
        <v/>
      </c>
      <c r="L12" s="11" t="str">
        <f>IFERROR(RANK(Ordenada!L13,Ordenada!L$5:L$90,0),"")</f>
        <v/>
      </c>
      <c r="M12" s="11" t="str">
        <f>IFERROR(RANK(Ordenada!M13,Ordenada!M$5:M$90,0),"")</f>
        <v/>
      </c>
      <c r="N12" s="11" t="str">
        <f>IFERROR(RANK(Ordenada!N13,Ordenada!N$5:N$90,0),"")</f>
        <v/>
      </c>
      <c r="O12" s="11" t="str">
        <f>IFERROR(RANK(Ordenada!O13,Ordenada!O$5:O$90,0),"")</f>
        <v/>
      </c>
      <c r="P12" s="11" t="str">
        <f>IFERROR(RANK(Ordenada!P13,Ordenada!P$5:P$90,0),"")</f>
        <v/>
      </c>
      <c r="Q12" s="11" t="str">
        <f>IFERROR(RANK(Ordenada!Q13,Ordenada!Q$5:Q$90,0),"")</f>
        <v/>
      </c>
      <c r="R12" s="11" t="str">
        <f>IFERROR(RANK(Ordenada!O13,Ordenada!O$5:O$90,0),"")</f>
        <v/>
      </c>
      <c r="S12" s="11" t="str">
        <f>IFERROR(RANK(Ordenada!S13,Ordenada!S$5:S$90,0),"")</f>
        <v/>
      </c>
      <c r="T12" s="11" t="str">
        <f>IFERROR(RANK(Ordenada!T13,Ordenada!T$5:T$90,0),"")</f>
        <v/>
      </c>
      <c r="U12" s="11" t="str">
        <f>IFERROR(RANK(Ordenada!U13,Ordenada!U$5:U$90,0),"")</f>
        <v/>
      </c>
      <c r="V12" s="11" t="str">
        <f>IFERROR(RANK(Ordenada!V13,Ordenada!V$5:V$90,0),"")</f>
        <v/>
      </c>
      <c r="W12" s="11" t="str">
        <f>IFERROR(RANK(Ordenada!W13,Ordenada!W$5:W$90,1),"")</f>
        <v/>
      </c>
      <c r="Y12" s="11"/>
    </row>
    <row r="13" spans="1:25" x14ac:dyDescent="0.35">
      <c r="A13" s="11" t="str">
        <f>IF(Propostas!$C21="","",ROW(10:10))</f>
        <v/>
      </c>
      <c r="B13" s="34" t="str">
        <f>IF(Propostas!$C21="","",VLOOKUP($A13,Pontuação!$A$5:$V$88,COLUMN(B:B),0))</f>
        <v/>
      </c>
      <c r="C13" s="11" t="str">
        <f>IFERROR(RANK(Ordenada!C14,Ordenada!C$5:C$90,0),"")</f>
        <v/>
      </c>
      <c r="D13" s="11" t="str">
        <f>IFERROR(RANK(Ordenada!D14,Ordenada!D$5:D$90,0),"")</f>
        <v/>
      </c>
      <c r="E13" s="11" t="str">
        <f>IFERROR(RANK(Ordenada!E14,Ordenada!E$5:E$90,0),"")</f>
        <v/>
      </c>
      <c r="F13" s="11" t="str">
        <f>IFERROR(RANK(Ordenada!F14,Ordenada!F$5:F$90,0),"")</f>
        <v/>
      </c>
      <c r="G13" s="11" t="str">
        <f>IFERROR(RANK(Ordenada!G14,Ordenada!G$5:G$90,0),"")</f>
        <v/>
      </c>
      <c r="H13" s="11" t="str">
        <f>IFERROR(RANK(Ordenada!H14,Ordenada!H$5:H$90,0),"")</f>
        <v/>
      </c>
      <c r="I13" s="11" t="str">
        <f>IFERROR(RANK(Ordenada!I14,Ordenada!I$5:I$90,0),"")</f>
        <v/>
      </c>
      <c r="J13" s="11" t="str">
        <f>IFERROR(RANK(Ordenada!J14,Ordenada!J$5:J$90,0),"")</f>
        <v/>
      </c>
      <c r="K13" s="11" t="str">
        <f>IFERROR(RANK(Ordenada!K14,Ordenada!K$5:K$90,0),"")</f>
        <v/>
      </c>
      <c r="L13" s="11" t="str">
        <f>IFERROR(RANK(Ordenada!L14,Ordenada!L$5:L$90,0),"")</f>
        <v/>
      </c>
      <c r="M13" s="11" t="str">
        <f>IFERROR(RANK(Ordenada!M14,Ordenada!M$5:M$90,0),"")</f>
        <v/>
      </c>
      <c r="N13" s="11" t="str">
        <f>IFERROR(RANK(Ordenada!N14,Ordenada!N$5:N$90,0),"")</f>
        <v/>
      </c>
      <c r="O13" s="11" t="str">
        <f>IFERROR(RANK(Ordenada!O14,Ordenada!O$5:O$90,0),"")</f>
        <v/>
      </c>
      <c r="P13" s="11" t="str">
        <f>IFERROR(RANK(Ordenada!P14,Ordenada!P$5:P$90,0),"")</f>
        <v/>
      </c>
      <c r="Q13" s="11" t="str">
        <f>IFERROR(RANK(Ordenada!Q14,Ordenada!Q$5:Q$90,0),"")</f>
        <v/>
      </c>
      <c r="R13" s="11" t="str">
        <f>IFERROR(RANK(Ordenada!O14,Ordenada!O$5:O$90,0),"")</f>
        <v/>
      </c>
      <c r="S13" s="11" t="str">
        <f>IFERROR(RANK(Ordenada!S14,Ordenada!S$5:S$90,0),"")</f>
        <v/>
      </c>
      <c r="T13" s="11" t="str">
        <f>IFERROR(RANK(Ordenada!T14,Ordenada!T$5:T$90,0),"")</f>
        <v/>
      </c>
      <c r="U13" s="11" t="str">
        <f>IFERROR(RANK(Ordenada!U14,Ordenada!U$5:U$90,0),"")</f>
        <v/>
      </c>
      <c r="V13" s="11" t="str">
        <f>IFERROR(RANK(Ordenada!V14,Ordenada!V$5:V$90,0),"")</f>
        <v/>
      </c>
      <c r="W13" s="11" t="str">
        <f>IFERROR(RANK(Ordenada!W14,Ordenada!W$5:W$90,1),"")</f>
        <v/>
      </c>
      <c r="Y13" s="11"/>
    </row>
    <row r="14" spans="1:25" x14ac:dyDescent="0.35">
      <c r="A14" s="11" t="str">
        <f>IF(Propostas!$C22="","",ROW(11:11))</f>
        <v/>
      </c>
      <c r="B14" s="34" t="str">
        <f>IF(Propostas!$C22="","",VLOOKUP($A14,Pontuação!$A$5:$V$88,COLUMN(B:B),0))</f>
        <v/>
      </c>
      <c r="C14" s="11" t="str">
        <f>IFERROR(RANK(Ordenada!C15,Ordenada!C$5:C$90,0),"")</f>
        <v/>
      </c>
      <c r="D14" s="11" t="str">
        <f>IFERROR(RANK(Ordenada!D15,Ordenada!D$5:D$90,0),"")</f>
        <v/>
      </c>
      <c r="E14" s="11" t="str">
        <f>IFERROR(RANK(Ordenada!E15,Ordenada!E$5:E$90,0),"")</f>
        <v/>
      </c>
      <c r="F14" s="11" t="str">
        <f>IFERROR(RANK(Ordenada!F15,Ordenada!F$5:F$90,0),"")</f>
        <v/>
      </c>
      <c r="G14" s="11" t="str">
        <f>IFERROR(RANK(Ordenada!G15,Ordenada!G$5:G$90,0),"")</f>
        <v/>
      </c>
      <c r="H14" s="11" t="str">
        <f>IFERROR(RANK(Ordenada!H15,Ordenada!H$5:H$90,0),"")</f>
        <v/>
      </c>
      <c r="I14" s="11" t="str">
        <f>IFERROR(RANK(Ordenada!I15,Ordenada!I$5:I$90,0),"")</f>
        <v/>
      </c>
      <c r="J14" s="11" t="str">
        <f>IFERROR(RANK(Ordenada!J15,Ordenada!J$5:J$90,0),"")</f>
        <v/>
      </c>
      <c r="K14" s="11" t="str">
        <f>IFERROR(RANK(Ordenada!K15,Ordenada!K$5:K$90,0),"")</f>
        <v/>
      </c>
      <c r="L14" s="11" t="str">
        <f>IFERROR(RANK(Ordenada!L15,Ordenada!L$5:L$90,0),"")</f>
        <v/>
      </c>
      <c r="M14" s="11" t="str">
        <f>IFERROR(RANK(Ordenada!M15,Ordenada!M$5:M$90,0),"")</f>
        <v/>
      </c>
      <c r="N14" s="11" t="str">
        <f>IFERROR(RANK(Ordenada!N15,Ordenada!N$5:N$90,0),"")</f>
        <v/>
      </c>
      <c r="O14" s="11" t="str">
        <f>IFERROR(RANK(Ordenada!O15,Ordenada!O$5:O$90,0),"")</f>
        <v/>
      </c>
      <c r="P14" s="11" t="str">
        <f>IFERROR(RANK(Ordenada!P15,Ordenada!P$5:P$90,0),"")</f>
        <v/>
      </c>
      <c r="Q14" s="11" t="str">
        <f>IFERROR(RANK(Ordenada!Q15,Ordenada!Q$5:Q$90,0),"")</f>
        <v/>
      </c>
      <c r="R14" s="11" t="str">
        <f>IFERROR(RANK(Ordenada!O15,Ordenada!O$5:O$90,0),"")</f>
        <v/>
      </c>
      <c r="S14" s="11" t="str">
        <f>IFERROR(RANK(Ordenada!S15,Ordenada!S$5:S$90,0),"")</f>
        <v/>
      </c>
      <c r="T14" s="11" t="str">
        <f>IFERROR(RANK(Ordenada!T15,Ordenada!T$5:T$90,0),"")</f>
        <v/>
      </c>
      <c r="U14" s="11" t="str">
        <f>IFERROR(RANK(Ordenada!U15,Ordenada!U$5:U$90,0),"")</f>
        <v/>
      </c>
      <c r="V14" s="11" t="str">
        <f>IFERROR(RANK(Ordenada!V15,Ordenada!V$5:V$90,0),"")</f>
        <v/>
      </c>
      <c r="W14" s="11" t="str">
        <f>IFERROR(RANK(Ordenada!W15,Ordenada!W$5:W$90,1),"")</f>
        <v/>
      </c>
      <c r="Y14" s="11"/>
    </row>
    <row r="15" spans="1:25" x14ac:dyDescent="0.35">
      <c r="A15" s="11" t="str">
        <f>IF(Propostas!$C23="","",ROW(12:12))</f>
        <v/>
      </c>
      <c r="B15" s="34" t="str">
        <f>IF(Propostas!$C23="","",VLOOKUP($A15,Pontuação!$A$5:$V$88,COLUMN(B:B),0))</f>
        <v/>
      </c>
      <c r="C15" s="11" t="str">
        <f>IFERROR(RANK(Ordenada!C16,Ordenada!C$5:C$90,0),"")</f>
        <v/>
      </c>
      <c r="D15" s="11" t="str">
        <f>IFERROR(RANK(Ordenada!D16,Ordenada!D$5:D$90,0),"")</f>
        <v/>
      </c>
      <c r="E15" s="11" t="str">
        <f>IFERROR(RANK(Ordenada!E16,Ordenada!E$5:E$90,0),"")</f>
        <v/>
      </c>
      <c r="F15" s="11" t="str">
        <f>IFERROR(RANK(Ordenada!F16,Ordenada!F$5:F$90,0),"")</f>
        <v/>
      </c>
      <c r="G15" s="11" t="str">
        <f>IFERROR(RANK(Ordenada!G16,Ordenada!G$5:G$90,0),"")</f>
        <v/>
      </c>
      <c r="H15" s="11" t="str">
        <f>IFERROR(RANK(Ordenada!H16,Ordenada!H$5:H$90,0),"")</f>
        <v/>
      </c>
      <c r="I15" s="11" t="str">
        <f>IFERROR(RANK(Ordenada!I16,Ordenada!I$5:I$90,0),"")</f>
        <v/>
      </c>
      <c r="J15" s="11" t="str">
        <f>IFERROR(RANK(Ordenada!J16,Ordenada!J$5:J$90,0),"")</f>
        <v/>
      </c>
      <c r="K15" s="11" t="str">
        <f>IFERROR(RANK(Ordenada!K16,Ordenada!K$5:K$90,0),"")</f>
        <v/>
      </c>
      <c r="L15" s="11" t="str">
        <f>IFERROR(RANK(Ordenada!L16,Ordenada!L$5:L$90,0),"")</f>
        <v/>
      </c>
      <c r="M15" s="11" t="str">
        <f>IFERROR(RANK(Ordenada!M16,Ordenada!M$5:M$90,0),"")</f>
        <v/>
      </c>
      <c r="N15" s="11" t="str">
        <f>IFERROR(RANK(Ordenada!N16,Ordenada!N$5:N$90,0),"")</f>
        <v/>
      </c>
      <c r="O15" s="11" t="str">
        <f>IFERROR(RANK(Ordenada!O16,Ordenada!O$5:O$90,0),"")</f>
        <v/>
      </c>
      <c r="P15" s="11" t="str">
        <f>IFERROR(RANK(Ordenada!P16,Ordenada!P$5:P$90,0),"")</f>
        <v/>
      </c>
      <c r="Q15" s="11" t="str">
        <f>IFERROR(RANK(Ordenada!Q16,Ordenada!Q$5:Q$90,0),"")</f>
        <v/>
      </c>
      <c r="R15" s="11" t="str">
        <f>IFERROR(RANK(Ordenada!O16,Ordenada!O$5:O$90,0),"")</f>
        <v/>
      </c>
      <c r="S15" s="11" t="str">
        <f>IFERROR(RANK(Ordenada!S16,Ordenada!S$5:S$90,0),"")</f>
        <v/>
      </c>
      <c r="T15" s="11" t="str">
        <f>IFERROR(RANK(Ordenada!T16,Ordenada!T$5:T$90,0),"")</f>
        <v/>
      </c>
      <c r="U15" s="11" t="str">
        <f>IFERROR(RANK(Ordenada!U16,Ordenada!U$5:U$90,0),"")</f>
        <v/>
      </c>
      <c r="V15" s="11" t="str">
        <f>IFERROR(RANK(Ordenada!V16,Ordenada!V$5:V$90,0),"")</f>
        <v/>
      </c>
      <c r="W15" s="11" t="str">
        <f>IFERROR(RANK(Ordenada!W16,Ordenada!W$5:W$90,1),"")</f>
        <v/>
      </c>
      <c r="Y15" s="11"/>
    </row>
    <row r="16" spans="1:25" x14ac:dyDescent="0.35">
      <c r="A16" s="11" t="str">
        <f>IF(Propostas!$C24="","",ROW(13:13))</f>
        <v/>
      </c>
      <c r="B16" s="34" t="str">
        <f>IF(Propostas!$C24="","",VLOOKUP($A16,Pontuação!$A$5:$V$88,COLUMN(B:B),0))</f>
        <v/>
      </c>
      <c r="C16" s="11" t="str">
        <f>IFERROR(RANK(Ordenada!C17,Ordenada!C$5:C$90,0),"")</f>
        <v/>
      </c>
      <c r="D16" s="11" t="str">
        <f>IFERROR(RANK(Ordenada!D17,Ordenada!D$5:D$90,0),"")</f>
        <v/>
      </c>
      <c r="E16" s="11" t="str">
        <f>IFERROR(RANK(Ordenada!E17,Ordenada!E$5:E$90,0),"")</f>
        <v/>
      </c>
      <c r="F16" s="11" t="str">
        <f>IFERROR(RANK(Ordenada!F17,Ordenada!F$5:F$90,0),"")</f>
        <v/>
      </c>
      <c r="G16" s="11" t="str">
        <f>IFERROR(RANK(Ordenada!G17,Ordenada!G$5:G$90,0),"")</f>
        <v/>
      </c>
      <c r="H16" s="11" t="str">
        <f>IFERROR(RANK(Ordenada!H17,Ordenada!H$5:H$90,0),"")</f>
        <v/>
      </c>
      <c r="I16" s="11" t="str">
        <f>IFERROR(RANK(Ordenada!I17,Ordenada!I$5:I$90,0),"")</f>
        <v/>
      </c>
      <c r="J16" s="11" t="str">
        <f>IFERROR(RANK(Ordenada!J17,Ordenada!J$5:J$90,0),"")</f>
        <v/>
      </c>
      <c r="K16" s="11" t="str">
        <f>IFERROR(RANK(Ordenada!K17,Ordenada!K$5:K$90,0),"")</f>
        <v/>
      </c>
      <c r="L16" s="11" t="str">
        <f>IFERROR(RANK(Ordenada!L17,Ordenada!L$5:L$90,0),"")</f>
        <v/>
      </c>
      <c r="M16" s="11" t="str">
        <f>IFERROR(RANK(Ordenada!M17,Ordenada!M$5:M$90,0),"")</f>
        <v/>
      </c>
      <c r="N16" s="11" t="str">
        <f>IFERROR(RANK(Ordenada!N17,Ordenada!N$5:N$90,0),"")</f>
        <v/>
      </c>
      <c r="O16" s="11" t="str">
        <f>IFERROR(RANK(Ordenada!O17,Ordenada!O$5:O$90,0),"")</f>
        <v/>
      </c>
      <c r="P16" s="11" t="str">
        <f>IFERROR(RANK(Ordenada!P17,Ordenada!P$5:P$90,0),"")</f>
        <v/>
      </c>
      <c r="Q16" s="11" t="str">
        <f>IFERROR(RANK(Ordenada!Q17,Ordenada!Q$5:Q$90,0),"")</f>
        <v/>
      </c>
      <c r="R16" s="11" t="str">
        <f>IFERROR(RANK(Ordenada!O17,Ordenada!O$5:O$90,0),"")</f>
        <v/>
      </c>
      <c r="S16" s="11" t="str">
        <f>IFERROR(RANK(Ordenada!S17,Ordenada!S$5:S$90,0),"")</f>
        <v/>
      </c>
      <c r="T16" s="11" t="str">
        <f>IFERROR(RANK(Ordenada!T17,Ordenada!T$5:T$90,0),"")</f>
        <v/>
      </c>
      <c r="U16" s="11" t="str">
        <f>IFERROR(RANK(Ordenada!U17,Ordenada!U$5:U$90,0),"")</f>
        <v/>
      </c>
      <c r="V16" s="11" t="str">
        <f>IFERROR(RANK(Ordenada!V17,Ordenada!V$5:V$90,0),"")</f>
        <v/>
      </c>
      <c r="W16" s="11" t="str">
        <f>IFERROR(RANK(Ordenada!W17,Ordenada!W$5:W$90,1),"")</f>
        <v/>
      </c>
      <c r="Y16" s="11"/>
    </row>
    <row r="17" spans="1:25" x14ac:dyDescent="0.35">
      <c r="A17" s="11" t="str">
        <f>IF(Propostas!$C25="","",ROW(14:14))</f>
        <v/>
      </c>
      <c r="B17" s="34" t="str">
        <f>IF(Propostas!$C25="","",VLOOKUP($A17,Pontuação!$A$5:$V$88,COLUMN(B:B),0))</f>
        <v/>
      </c>
      <c r="C17" s="11" t="str">
        <f>IFERROR(RANK(Ordenada!C18,Ordenada!C$5:C$90,0),"")</f>
        <v/>
      </c>
      <c r="D17" s="11" t="str">
        <f>IFERROR(RANK(Ordenada!D18,Ordenada!D$5:D$90,0),"")</f>
        <v/>
      </c>
      <c r="E17" s="11" t="str">
        <f>IFERROR(RANK(Ordenada!E18,Ordenada!E$5:E$90,0),"")</f>
        <v/>
      </c>
      <c r="F17" s="11" t="str">
        <f>IFERROR(RANK(Ordenada!F18,Ordenada!F$5:F$90,0),"")</f>
        <v/>
      </c>
      <c r="G17" s="11" t="str">
        <f>IFERROR(RANK(Ordenada!G18,Ordenada!G$5:G$90,0),"")</f>
        <v/>
      </c>
      <c r="H17" s="11" t="str">
        <f>IFERROR(RANK(Ordenada!H18,Ordenada!H$5:H$90,0),"")</f>
        <v/>
      </c>
      <c r="I17" s="11" t="str">
        <f>IFERROR(RANK(Ordenada!I18,Ordenada!I$5:I$90,0),"")</f>
        <v/>
      </c>
      <c r="J17" s="11" t="str">
        <f>IFERROR(RANK(Ordenada!J18,Ordenada!J$5:J$90,0),"")</f>
        <v/>
      </c>
      <c r="K17" s="11" t="str">
        <f>IFERROR(RANK(Ordenada!K18,Ordenada!K$5:K$90,0),"")</f>
        <v/>
      </c>
      <c r="L17" s="11" t="str">
        <f>IFERROR(RANK(Ordenada!L18,Ordenada!L$5:L$90,0),"")</f>
        <v/>
      </c>
      <c r="M17" s="11" t="str">
        <f>IFERROR(RANK(Ordenada!M18,Ordenada!M$5:M$90,0),"")</f>
        <v/>
      </c>
      <c r="N17" s="11" t="str">
        <f>IFERROR(RANK(Ordenada!N18,Ordenada!N$5:N$90,0),"")</f>
        <v/>
      </c>
      <c r="O17" s="11" t="str">
        <f>IFERROR(RANK(Ordenada!O18,Ordenada!O$5:O$90,0),"")</f>
        <v/>
      </c>
      <c r="P17" s="11" t="str">
        <f>IFERROR(RANK(Ordenada!P18,Ordenada!P$5:P$90,0),"")</f>
        <v/>
      </c>
      <c r="Q17" s="11" t="str">
        <f>IFERROR(RANK(Ordenada!Q18,Ordenada!Q$5:Q$90,0),"")</f>
        <v/>
      </c>
      <c r="R17" s="11" t="str">
        <f>IFERROR(RANK(Ordenada!O18,Ordenada!O$5:O$90,0),"")</f>
        <v/>
      </c>
      <c r="S17" s="11" t="str">
        <f>IFERROR(RANK(Ordenada!S18,Ordenada!S$5:S$90,0),"")</f>
        <v/>
      </c>
      <c r="T17" s="11" t="str">
        <f>IFERROR(RANK(Ordenada!T18,Ordenada!T$5:T$90,0),"")</f>
        <v/>
      </c>
      <c r="U17" s="11" t="str">
        <f>IFERROR(RANK(Ordenada!U18,Ordenada!U$5:U$90,0),"")</f>
        <v/>
      </c>
      <c r="V17" s="11" t="str">
        <f>IFERROR(RANK(Ordenada!V18,Ordenada!V$5:V$90,0),"")</f>
        <v/>
      </c>
      <c r="W17" s="11" t="str">
        <f>IFERROR(RANK(Ordenada!W18,Ordenada!W$5:W$90,1),"")</f>
        <v/>
      </c>
      <c r="Y17" s="11"/>
    </row>
    <row r="18" spans="1:25" x14ac:dyDescent="0.35">
      <c r="A18" s="11" t="str">
        <f>IF(Propostas!$C26="","",ROW(15:15))</f>
        <v/>
      </c>
      <c r="B18" s="34" t="str">
        <f>IF(Propostas!$C26="","",VLOOKUP($A18,Pontuação!$A$5:$V$88,COLUMN(B:B),0))</f>
        <v/>
      </c>
      <c r="C18" s="11" t="str">
        <f>IFERROR(RANK(Ordenada!C19,Ordenada!C$5:C$90,0),"")</f>
        <v/>
      </c>
      <c r="D18" s="11" t="str">
        <f>IFERROR(RANK(Ordenada!D19,Ordenada!D$5:D$90,0),"")</f>
        <v/>
      </c>
      <c r="E18" s="11" t="str">
        <f>IFERROR(RANK(Ordenada!E19,Ordenada!E$5:E$90,0),"")</f>
        <v/>
      </c>
      <c r="F18" s="11" t="str">
        <f>IFERROR(RANK(Ordenada!F19,Ordenada!F$5:F$90,0),"")</f>
        <v/>
      </c>
      <c r="G18" s="11" t="str">
        <f>IFERROR(RANK(Ordenada!G19,Ordenada!G$5:G$90,0),"")</f>
        <v/>
      </c>
      <c r="H18" s="11" t="str">
        <f>IFERROR(RANK(Ordenada!H19,Ordenada!H$5:H$90,0),"")</f>
        <v/>
      </c>
      <c r="I18" s="11" t="str">
        <f>IFERROR(RANK(Ordenada!I19,Ordenada!I$5:I$90,0),"")</f>
        <v/>
      </c>
      <c r="J18" s="11" t="str">
        <f>IFERROR(RANK(Ordenada!J19,Ordenada!J$5:J$90,0),"")</f>
        <v/>
      </c>
      <c r="K18" s="11" t="str">
        <f>IFERROR(RANK(Ordenada!K19,Ordenada!K$5:K$90,0),"")</f>
        <v/>
      </c>
      <c r="L18" s="11" t="str">
        <f>IFERROR(RANK(Ordenada!L19,Ordenada!L$5:L$90,0),"")</f>
        <v/>
      </c>
      <c r="M18" s="11" t="str">
        <f>IFERROR(RANK(Ordenada!M19,Ordenada!M$5:M$90,0),"")</f>
        <v/>
      </c>
      <c r="N18" s="11" t="str">
        <f>IFERROR(RANK(Ordenada!N19,Ordenada!N$5:N$90,0),"")</f>
        <v/>
      </c>
      <c r="O18" s="11" t="str">
        <f>IFERROR(RANK(Ordenada!O19,Ordenada!O$5:O$90,0),"")</f>
        <v/>
      </c>
      <c r="P18" s="11" t="str">
        <f>IFERROR(RANK(Ordenada!P19,Ordenada!P$5:P$90,0),"")</f>
        <v/>
      </c>
      <c r="Q18" s="11" t="str">
        <f>IFERROR(RANK(Ordenada!Q19,Ordenada!Q$5:Q$90,0),"")</f>
        <v/>
      </c>
      <c r="R18" s="11" t="str">
        <f>IFERROR(RANK(Ordenada!O19,Ordenada!O$5:O$90,0),"")</f>
        <v/>
      </c>
      <c r="S18" s="11" t="str">
        <f>IFERROR(RANK(Ordenada!S19,Ordenada!S$5:S$90,0),"")</f>
        <v/>
      </c>
      <c r="T18" s="11" t="str">
        <f>IFERROR(RANK(Ordenada!T19,Ordenada!T$5:T$90,0),"")</f>
        <v/>
      </c>
      <c r="U18" s="11" t="str">
        <f>IFERROR(RANK(Ordenada!U19,Ordenada!U$5:U$90,0),"")</f>
        <v/>
      </c>
      <c r="V18" s="11" t="str">
        <f>IFERROR(RANK(Ordenada!V19,Ordenada!V$5:V$90,0),"")</f>
        <v/>
      </c>
      <c r="W18" s="11" t="str">
        <f>IFERROR(RANK(Ordenada!W19,Ordenada!W$5:W$90,1),"")</f>
        <v/>
      </c>
      <c r="Y18" s="11"/>
    </row>
    <row r="19" spans="1:25" x14ac:dyDescent="0.35">
      <c r="A19" s="11" t="str">
        <f>IF(Propostas!$C27="","",ROW(16:16))</f>
        <v/>
      </c>
      <c r="B19" s="34" t="str">
        <f>IF(Propostas!$C27="","",VLOOKUP($A19,Pontuação!$A$5:$V$88,COLUMN(B:B),0))</f>
        <v/>
      </c>
      <c r="C19" s="11" t="str">
        <f>IFERROR(RANK(Ordenada!C20,Ordenada!C$5:C$90,0),"")</f>
        <v/>
      </c>
      <c r="D19" s="11" t="str">
        <f>IFERROR(RANK(Ordenada!D20,Ordenada!D$5:D$90,0),"")</f>
        <v/>
      </c>
      <c r="E19" s="11" t="str">
        <f>IFERROR(RANK(Ordenada!E20,Ordenada!E$5:E$90,0),"")</f>
        <v/>
      </c>
      <c r="F19" s="11" t="str">
        <f>IFERROR(RANK(Ordenada!F20,Ordenada!F$5:F$90,0),"")</f>
        <v/>
      </c>
      <c r="G19" s="11" t="str">
        <f>IFERROR(RANK(Ordenada!G20,Ordenada!G$5:G$90,0),"")</f>
        <v/>
      </c>
      <c r="H19" s="11" t="str">
        <f>IFERROR(RANK(Ordenada!H20,Ordenada!H$5:H$90,0),"")</f>
        <v/>
      </c>
      <c r="I19" s="11" t="str">
        <f>IFERROR(RANK(Ordenada!I20,Ordenada!I$5:I$90,0),"")</f>
        <v/>
      </c>
      <c r="J19" s="11" t="str">
        <f>IFERROR(RANK(Ordenada!J20,Ordenada!J$5:J$90,0),"")</f>
        <v/>
      </c>
      <c r="K19" s="11" t="str">
        <f>IFERROR(RANK(Ordenada!K20,Ordenada!K$5:K$90,0),"")</f>
        <v/>
      </c>
      <c r="L19" s="11" t="str">
        <f>IFERROR(RANK(Ordenada!L20,Ordenada!L$5:L$90,0),"")</f>
        <v/>
      </c>
      <c r="M19" s="11" t="str">
        <f>IFERROR(RANK(Ordenada!M20,Ordenada!M$5:M$90,0),"")</f>
        <v/>
      </c>
      <c r="N19" s="11" t="str">
        <f>IFERROR(RANK(Ordenada!N20,Ordenada!N$5:N$90,0),"")</f>
        <v/>
      </c>
      <c r="O19" s="11" t="str">
        <f>IFERROR(RANK(Ordenada!O20,Ordenada!O$5:O$90,0),"")</f>
        <v/>
      </c>
      <c r="P19" s="11" t="str">
        <f>IFERROR(RANK(Ordenada!P20,Ordenada!P$5:P$90,0),"")</f>
        <v/>
      </c>
      <c r="Q19" s="11" t="str">
        <f>IFERROR(RANK(Ordenada!Q20,Ordenada!Q$5:Q$90,0),"")</f>
        <v/>
      </c>
      <c r="R19" s="11" t="str">
        <f>IFERROR(RANK(Ordenada!O20,Ordenada!O$5:O$90,0),"")</f>
        <v/>
      </c>
      <c r="S19" s="11" t="str">
        <f>IFERROR(RANK(Ordenada!S20,Ordenada!S$5:S$90,0),"")</f>
        <v/>
      </c>
      <c r="T19" s="11" t="str">
        <f>IFERROR(RANK(Ordenada!T20,Ordenada!T$5:T$90,0),"")</f>
        <v/>
      </c>
      <c r="U19" s="11" t="str">
        <f>IFERROR(RANK(Ordenada!U20,Ordenada!U$5:U$90,0),"")</f>
        <v/>
      </c>
      <c r="V19" s="11" t="str">
        <f>IFERROR(RANK(Ordenada!V20,Ordenada!V$5:V$90,0),"")</f>
        <v/>
      </c>
      <c r="W19" s="11" t="str">
        <f>IFERROR(RANK(Ordenada!W20,Ordenada!W$5:W$90,1),"")</f>
        <v/>
      </c>
      <c r="Y19" s="11"/>
    </row>
    <row r="20" spans="1:25" x14ac:dyDescent="0.35">
      <c r="A20" s="11" t="str">
        <f>IF(Propostas!$C28="","",ROW(17:17))</f>
        <v/>
      </c>
      <c r="B20" s="34" t="str">
        <f>IF(Propostas!$C28="","",VLOOKUP($A20,Pontuação!$A$5:$V$88,COLUMN(B:B),0))</f>
        <v/>
      </c>
      <c r="C20" s="11" t="str">
        <f>IFERROR(RANK(Ordenada!C21,Ordenada!C$5:C$90,0),"")</f>
        <v/>
      </c>
      <c r="D20" s="11" t="str">
        <f>IFERROR(RANK(Ordenada!D21,Ordenada!D$5:D$90,0),"")</f>
        <v/>
      </c>
      <c r="E20" s="11" t="str">
        <f>IFERROR(RANK(Ordenada!E21,Ordenada!E$5:E$90,0),"")</f>
        <v/>
      </c>
      <c r="F20" s="11" t="str">
        <f>IFERROR(RANK(Ordenada!F21,Ordenada!F$5:F$90,0),"")</f>
        <v/>
      </c>
      <c r="G20" s="11" t="str">
        <f>IFERROR(RANK(Ordenada!G21,Ordenada!G$5:G$90,0),"")</f>
        <v/>
      </c>
      <c r="H20" s="11" t="str">
        <f>IFERROR(RANK(Ordenada!H21,Ordenada!H$5:H$90,0),"")</f>
        <v/>
      </c>
      <c r="I20" s="11" t="str">
        <f>IFERROR(RANK(Ordenada!I21,Ordenada!I$5:I$90,0),"")</f>
        <v/>
      </c>
      <c r="J20" s="11" t="str">
        <f>IFERROR(RANK(Ordenada!J21,Ordenada!J$5:J$90,0),"")</f>
        <v/>
      </c>
      <c r="K20" s="11" t="str">
        <f>IFERROR(RANK(Ordenada!K21,Ordenada!K$5:K$90,0),"")</f>
        <v/>
      </c>
      <c r="L20" s="11" t="str">
        <f>IFERROR(RANK(Ordenada!L21,Ordenada!L$5:L$90,0),"")</f>
        <v/>
      </c>
      <c r="M20" s="11" t="str">
        <f>IFERROR(RANK(Ordenada!M21,Ordenada!M$5:M$90,0),"")</f>
        <v/>
      </c>
      <c r="N20" s="11" t="str">
        <f>IFERROR(RANK(Ordenada!N21,Ordenada!N$5:N$90,0),"")</f>
        <v/>
      </c>
      <c r="O20" s="11" t="str">
        <f>IFERROR(RANK(Ordenada!O21,Ordenada!O$5:O$90,0),"")</f>
        <v/>
      </c>
      <c r="P20" s="11" t="str">
        <f>IFERROR(RANK(Ordenada!P21,Ordenada!P$5:P$90,0),"")</f>
        <v/>
      </c>
      <c r="Q20" s="11" t="str">
        <f>IFERROR(RANK(Ordenada!Q21,Ordenada!Q$5:Q$90,0),"")</f>
        <v/>
      </c>
      <c r="R20" s="11" t="str">
        <f>IFERROR(RANK(Ordenada!O21,Ordenada!O$5:O$90,0),"")</f>
        <v/>
      </c>
      <c r="S20" s="11" t="str">
        <f>IFERROR(RANK(Ordenada!S21,Ordenada!S$5:S$90,0),"")</f>
        <v/>
      </c>
      <c r="T20" s="11" t="str">
        <f>IFERROR(RANK(Ordenada!T21,Ordenada!T$5:T$90,0),"")</f>
        <v/>
      </c>
      <c r="U20" s="11" t="str">
        <f>IFERROR(RANK(Ordenada!U21,Ordenada!U$5:U$90,0),"")</f>
        <v/>
      </c>
      <c r="V20" s="11" t="str">
        <f>IFERROR(RANK(Ordenada!V21,Ordenada!V$5:V$90,0),"")</f>
        <v/>
      </c>
      <c r="W20" s="11" t="str">
        <f>IFERROR(RANK(Ordenada!W21,Ordenada!W$5:W$90,1),"")</f>
        <v/>
      </c>
      <c r="Y20" s="11"/>
    </row>
    <row r="21" spans="1:25" x14ac:dyDescent="0.35">
      <c r="A21" s="11" t="str">
        <f>IF(Propostas!$C29="","",ROW(18:18))</f>
        <v/>
      </c>
      <c r="B21" s="34" t="str">
        <f>IF(Propostas!$C29="","",VLOOKUP($A21,Pontuação!$A$5:$V$88,COLUMN(B:B),0))</f>
        <v/>
      </c>
      <c r="C21" s="11" t="str">
        <f>IFERROR(RANK(Ordenada!C22,Ordenada!C$5:C$90,0),"")</f>
        <v/>
      </c>
      <c r="D21" s="11" t="str">
        <f>IFERROR(RANK(Ordenada!D22,Ordenada!D$5:D$90,0),"")</f>
        <v/>
      </c>
      <c r="E21" s="11" t="str">
        <f>IFERROR(RANK(Ordenada!E22,Ordenada!E$5:E$90,0),"")</f>
        <v/>
      </c>
      <c r="F21" s="11" t="str">
        <f>IFERROR(RANK(Ordenada!F22,Ordenada!F$5:F$90,0),"")</f>
        <v/>
      </c>
      <c r="G21" s="11" t="str">
        <f>IFERROR(RANK(Ordenada!G22,Ordenada!G$5:G$90,0),"")</f>
        <v/>
      </c>
      <c r="H21" s="11" t="str">
        <f>IFERROR(RANK(Ordenada!H22,Ordenada!H$5:H$90,0),"")</f>
        <v/>
      </c>
      <c r="I21" s="11" t="str">
        <f>IFERROR(RANK(Ordenada!I22,Ordenada!I$5:I$90,0),"")</f>
        <v/>
      </c>
      <c r="J21" s="11" t="str">
        <f>IFERROR(RANK(Ordenada!J22,Ordenada!J$5:J$90,0),"")</f>
        <v/>
      </c>
      <c r="K21" s="11" t="str">
        <f>IFERROR(RANK(Ordenada!K22,Ordenada!K$5:K$90,0),"")</f>
        <v/>
      </c>
      <c r="L21" s="11" t="str">
        <f>IFERROR(RANK(Ordenada!L22,Ordenada!L$5:L$90,0),"")</f>
        <v/>
      </c>
      <c r="M21" s="11" t="str">
        <f>IFERROR(RANK(Ordenada!M22,Ordenada!M$5:M$90,0),"")</f>
        <v/>
      </c>
      <c r="N21" s="11" t="str">
        <f>IFERROR(RANK(Ordenada!N22,Ordenada!N$5:N$90,0),"")</f>
        <v/>
      </c>
      <c r="O21" s="11" t="str">
        <f>IFERROR(RANK(Ordenada!O22,Ordenada!O$5:O$90,0),"")</f>
        <v/>
      </c>
      <c r="P21" s="11" t="str">
        <f>IFERROR(RANK(Ordenada!P22,Ordenada!P$5:P$90,0),"")</f>
        <v/>
      </c>
      <c r="Q21" s="11" t="str">
        <f>IFERROR(RANK(Ordenada!Q22,Ordenada!Q$5:Q$90,0),"")</f>
        <v/>
      </c>
      <c r="R21" s="11" t="str">
        <f>IFERROR(RANK(Ordenada!O22,Ordenada!O$5:O$90,0),"")</f>
        <v/>
      </c>
      <c r="S21" s="11" t="str">
        <f>IFERROR(RANK(Ordenada!S22,Ordenada!S$5:S$90,0),"")</f>
        <v/>
      </c>
      <c r="T21" s="11" t="str">
        <f>IFERROR(RANK(Ordenada!T22,Ordenada!T$5:T$90,0),"")</f>
        <v/>
      </c>
      <c r="U21" s="11" t="str">
        <f>IFERROR(RANK(Ordenada!U22,Ordenada!U$5:U$90,0),"")</f>
        <v/>
      </c>
      <c r="V21" s="11" t="str">
        <f>IFERROR(RANK(Ordenada!V22,Ordenada!V$5:V$90,0),"")</f>
        <v/>
      </c>
      <c r="W21" s="11" t="str">
        <f>IFERROR(RANK(Ordenada!W22,Ordenada!W$5:W$90,1),"")</f>
        <v/>
      </c>
      <c r="Y21" s="11"/>
    </row>
    <row r="22" spans="1:25" x14ac:dyDescent="0.35">
      <c r="A22" s="11" t="str">
        <f>IF(Propostas!$C30="","",ROW(19:19))</f>
        <v/>
      </c>
      <c r="B22" s="34" t="str">
        <f>IF(Propostas!$C30="","",VLOOKUP($A22,Pontuação!$A$5:$V$88,COLUMN(B:B),0))</f>
        <v/>
      </c>
      <c r="C22" s="11" t="str">
        <f>IFERROR(RANK(Ordenada!C23,Ordenada!C$5:C$90,0),"")</f>
        <v/>
      </c>
      <c r="D22" s="11" t="str">
        <f>IFERROR(RANK(Ordenada!D23,Ordenada!D$5:D$90,0),"")</f>
        <v/>
      </c>
      <c r="E22" s="11" t="str">
        <f>IFERROR(RANK(Ordenada!E23,Ordenada!E$5:E$90,0),"")</f>
        <v/>
      </c>
      <c r="F22" s="11" t="str">
        <f>IFERROR(RANK(Ordenada!F23,Ordenada!F$5:F$90,0),"")</f>
        <v/>
      </c>
      <c r="G22" s="11" t="str">
        <f>IFERROR(RANK(Ordenada!G23,Ordenada!G$5:G$90,0),"")</f>
        <v/>
      </c>
      <c r="H22" s="11" t="str">
        <f>IFERROR(RANK(Ordenada!H23,Ordenada!H$5:H$90,0),"")</f>
        <v/>
      </c>
      <c r="I22" s="11" t="str">
        <f>IFERROR(RANK(Ordenada!I23,Ordenada!I$5:I$90,0),"")</f>
        <v/>
      </c>
      <c r="J22" s="11" t="str">
        <f>IFERROR(RANK(Ordenada!J23,Ordenada!J$5:J$90,0),"")</f>
        <v/>
      </c>
      <c r="K22" s="11" t="str">
        <f>IFERROR(RANK(Ordenada!K23,Ordenada!K$5:K$90,0),"")</f>
        <v/>
      </c>
      <c r="L22" s="11" t="str">
        <f>IFERROR(RANK(Ordenada!L23,Ordenada!L$5:L$90,0),"")</f>
        <v/>
      </c>
      <c r="M22" s="11" t="str">
        <f>IFERROR(RANK(Ordenada!M23,Ordenada!M$5:M$90,0),"")</f>
        <v/>
      </c>
      <c r="N22" s="11" t="str">
        <f>IFERROR(RANK(Ordenada!N23,Ordenada!N$5:N$90,0),"")</f>
        <v/>
      </c>
      <c r="O22" s="11" t="str">
        <f>IFERROR(RANK(Ordenada!O23,Ordenada!O$5:O$90,0),"")</f>
        <v/>
      </c>
      <c r="P22" s="11" t="str">
        <f>IFERROR(RANK(Ordenada!P23,Ordenada!P$5:P$90,0),"")</f>
        <v/>
      </c>
      <c r="Q22" s="11" t="str">
        <f>IFERROR(RANK(Ordenada!Q23,Ordenada!Q$5:Q$90,0),"")</f>
        <v/>
      </c>
      <c r="R22" s="11" t="str">
        <f>IFERROR(RANK(Ordenada!O23,Ordenada!O$5:O$90,0),"")</f>
        <v/>
      </c>
      <c r="S22" s="11" t="str">
        <f>IFERROR(RANK(Ordenada!S23,Ordenada!S$5:S$90,0),"")</f>
        <v/>
      </c>
      <c r="T22" s="11" t="str">
        <f>IFERROR(RANK(Ordenada!T23,Ordenada!T$5:T$90,0),"")</f>
        <v/>
      </c>
      <c r="U22" s="11" t="str">
        <f>IFERROR(RANK(Ordenada!U23,Ordenada!U$5:U$90,0),"")</f>
        <v/>
      </c>
      <c r="V22" s="11" t="str">
        <f>IFERROR(RANK(Ordenada!V23,Ordenada!V$5:V$90,0),"")</f>
        <v/>
      </c>
      <c r="W22" s="11" t="str">
        <f>IFERROR(RANK(Ordenada!W23,Ordenada!W$5:W$90,1),"")</f>
        <v/>
      </c>
      <c r="Y22" s="11"/>
    </row>
    <row r="23" spans="1:25" x14ac:dyDescent="0.35">
      <c r="A23" s="11" t="str">
        <f>IF(Propostas!$C31="","",ROW(20:20))</f>
        <v/>
      </c>
      <c r="B23" s="34" t="str">
        <f>IF(Propostas!$C31="","",VLOOKUP($A23,Pontuação!$A$5:$V$88,COLUMN(B:B),0))</f>
        <v/>
      </c>
      <c r="C23" s="11" t="str">
        <f>IFERROR(RANK(Ordenada!C24,Ordenada!C$5:C$90,0),"")</f>
        <v/>
      </c>
      <c r="D23" s="11" t="str">
        <f>IFERROR(RANK(Ordenada!D24,Ordenada!D$5:D$90,0),"")</f>
        <v/>
      </c>
      <c r="E23" s="11" t="str">
        <f>IFERROR(RANK(Ordenada!E24,Ordenada!E$5:E$90,0),"")</f>
        <v/>
      </c>
      <c r="F23" s="11" t="str">
        <f>IFERROR(RANK(Ordenada!F24,Ordenada!F$5:F$90,0),"")</f>
        <v/>
      </c>
      <c r="G23" s="11" t="str">
        <f>IFERROR(RANK(Ordenada!G24,Ordenada!G$5:G$90,0),"")</f>
        <v/>
      </c>
      <c r="H23" s="11" t="str">
        <f>IFERROR(RANK(Ordenada!H24,Ordenada!H$5:H$90,0),"")</f>
        <v/>
      </c>
      <c r="I23" s="11" t="str">
        <f>IFERROR(RANK(Ordenada!I24,Ordenada!I$5:I$90,0),"")</f>
        <v/>
      </c>
      <c r="J23" s="11" t="str">
        <f>IFERROR(RANK(Ordenada!J24,Ordenada!J$5:J$90,0),"")</f>
        <v/>
      </c>
      <c r="K23" s="11" t="str">
        <f>IFERROR(RANK(Ordenada!K24,Ordenada!K$5:K$90,0),"")</f>
        <v/>
      </c>
      <c r="L23" s="11" t="str">
        <f>IFERROR(RANK(Ordenada!L24,Ordenada!L$5:L$90,0),"")</f>
        <v/>
      </c>
      <c r="M23" s="11" t="str">
        <f>IFERROR(RANK(Ordenada!M24,Ordenada!M$5:M$90,0),"")</f>
        <v/>
      </c>
      <c r="N23" s="11" t="str">
        <f>IFERROR(RANK(Ordenada!N24,Ordenada!N$5:N$90,0),"")</f>
        <v/>
      </c>
      <c r="O23" s="11" t="str">
        <f>IFERROR(RANK(Ordenada!O24,Ordenada!O$5:O$90,0),"")</f>
        <v/>
      </c>
      <c r="P23" s="11" t="str">
        <f>IFERROR(RANK(Ordenada!P24,Ordenada!P$5:P$90,0),"")</f>
        <v/>
      </c>
      <c r="Q23" s="11" t="str">
        <f>IFERROR(RANK(Ordenada!Q24,Ordenada!Q$5:Q$90,0),"")</f>
        <v/>
      </c>
      <c r="R23" s="11" t="str">
        <f>IFERROR(RANK(Ordenada!O24,Ordenada!O$5:O$90,0),"")</f>
        <v/>
      </c>
      <c r="S23" s="11" t="str">
        <f>IFERROR(RANK(Ordenada!S24,Ordenada!S$5:S$90,0),"")</f>
        <v/>
      </c>
      <c r="T23" s="11" t="str">
        <f>IFERROR(RANK(Ordenada!T24,Ordenada!T$5:T$90,0),"")</f>
        <v/>
      </c>
      <c r="U23" s="11" t="str">
        <f>IFERROR(RANK(Ordenada!U24,Ordenada!U$5:U$90,0),"")</f>
        <v/>
      </c>
      <c r="V23" s="11" t="str">
        <f>IFERROR(RANK(Ordenada!V24,Ordenada!V$5:V$90,0),"")</f>
        <v/>
      </c>
      <c r="W23" s="11" t="str">
        <f>IFERROR(RANK(Ordenada!W24,Ordenada!W$5:W$90,1),"")</f>
        <v/>
      </c>
      <c r="Y23" s="11"/>
    </row>
    <row r="24" spans="1:25" x14ac:dyDescent="0.35">
      <c r="A24" s="11" t="str">
        <f>IF(Propostas!$C32="","",ROW(21:21))</f>
        <v/>
      </c>
      <c r="B24" s="34" t="str">
        <f>IF(Propostas!$C32="","",VLOOKUP($A24,Pontuação!$A$5:$V$88,COLUMN(B:B),0))</f>
        <v/>
      </c>
      <c r="C24" s="11" t="str">
        <f>IFERROR(RANK(Ordenada!C25,Ordenada!C$5:C$90,0),"")</f>
        <v/>
      </c>
      <c r="D24" s="11" t="str">
        <f>IFERROR(RANK(Ordenada!D25,Ordenada!D$5:D$90,0),"")</f>
        <v/>
      </c>
      <c r="E24" s="11" t="str">
        <f>IFERROR(RANK(Ordenada!E25,Ordenada!E$5:E$90,0),"")</f>
        <v/>
      </c>
      <c r="F24" s="11" t="str">
        <f>IFERROR(RANK(Ordenada!F25,Ordenada!F$5:F$90,0),"")</f>
        <v/>
      </c>
      <c r="G24" s="11" t="str">
        <f>IFERROR(RANK(Ordenada!G25,Ordenada!G$5:G$90,0),"")</f>
        <v/>
      </c>
      <c r="H24" s="11" t="str">
        <f>IFERROR(RANK(Ordenada!H25,Ordenada!H$5:H$90,0),"")</f>
        <v/>
      </c>
      <c r="I24" s="11" t="str">
        <f>IFERROR(RANK(Ordenada!I25,Ordenada!I$5:I$90,0),"")</f>
        <v/>
      </c>
      <c r="J24" s="11" t="str">
        <f>IFERROR(RANK(Ordenada!J25,Ordenada!J$5:J$90,0),"")</f>
        <v/>
      </c>
      <c r="K24" s="11" t="str">
        <f>IFERROR(RANK(Ordenada!K25,Ordenada!K$5:K$90,0),"")</f>
        <v/>
      </c>
      <c r="L24" s="11" t="str">
        <f>IFERROR(RANK(Ordenada!L25,Ordenada!L$5:L$90,0),"")</f>
        <v/>
      </c>
      <c r="M24" s="11" t="str">
        <f>IFERROR(RANK(Ordenada!M25,Ordenada!M$5:M$90,0),"")</f>
        <v/>
      </c>
      <c r="N24" s="11" t="str">
        <f>IFERROR(RANK(Ordenada!N25,Ordenada!N$5:N$90,0),"")</f>
        <v/>
      </c>
      <c r="O24" s="11" t="str">
        <f>IFERROR(RANK(Ordenada!O25,Ordenada!O$5:O$90,0),"")</f>
        <v/>
      </c>
      <c r="P24" s="11" t="str">
        <f>IFERROR(RANK(Ordenada!P25,Ordenada!P$5:P$90,0),"")</f>
        <v/>
      </c>
      <c r="Q24" s="11" t="str">
        <f>IFERROR(RANK(Ordenada!Q25,Ordenada!Q$5:Q$90,0),"")</f>
        <v/>
      </c>
      <c r="R24" s="11" t="str">
        <f>IFERROR(RANK(Ordenada!O25,Ordenada!O$5:O$90,0),"")</f>
        <v/>
      </c>
      <c r="S24" s="11" t="str">
        <f>IFERROR(RANK(Ordenada!S25,Ordenada!S$5:S$90,0),"")</f>
        <v/>
      </c>
      <c r="T24" s="11" t="str">
        <f>IFERROR(RANK(Ordenada!T25,Ordenada!T$5:T$90,0),"")</f>
        <v/>
      </c>
      <c r="U24" s="11" t="str">
        <f>IFERROR(RANK(Ordenada!U25,Ordenada!U$5:U$90,0),"")</f>
        <v/>
      </c>
      <c r="V24" s="11" t="str">
        <f>IFERROR(RANK(Ordenada!V25,Ordenada!V$5:V$90,0),"")</f>
        <v/>
      </c>
      <c r="W24" s="11" t="str">
        <f>IFERROR(RANK(Ordenada!W25,Ordenada!W$5:W$90,1),"")</f>
        <v/>
      </c>
      <c r="Y24" s="11"/>
    </row>
    <row r="25" spans="1:25" x14ac:dyDescent="0.35">
      <c r="A25" s="11"/>
      <c r="B25" s="3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 t="str">
        <f>IFERROR(RANK(Ordenada!V26,Ordenada!V$5:V$90,0),"")</f>
        <v/>
      </c>
      <c r="W25" s="11" t="str">
        <f>IFERROR(RANK(Ordenada!W26,Ordenada!W$5:W$90,1),"")</f>
        <v/>
      </c>
    </row>
  </sheetData>
  <sortState xmlns:xlrd2="http://schemas.microsoft.com/office/spreadsheetml/2017/richdata2" ref="AA4:AA24">
    <sortCondition descending="1" ref="AA4"/>
  </sortState>
  <mergeCells count="5">
    <mergeCell ref="O1:R1"/>
    <mergeCell ref="C1:D1"/>
    <mergeCell ref="F1:G1"/>
    <mergeCell ref="H1:K1"/>
    <mergeCell ref="L1:N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 Uso Interno CPFL&amp;1#_x000D_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Critérios</vt:lpstr>
      <vt:lpstr>Dados</vt:lpstr>
      <vt:lpstr>Propostas</vt:lpstr>
      <vt:lpstr>Qualitativos</vt:lpstr>
      <vt:lpstr>Parâmetros</vt:lpstr>
      <vt:lpstr>Pontuação</vt:lpstr>
      <vt:lpstr>Ordenada</vt:lpstr>
      <vt:lpstr>Posição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Agenor Garcia</dc:creator>
  <cp:lastModifiedBy>Isabeli Carolina Lemos</cp:lastModifiedBy>
  <dcterms:created xsi:type="dcterms:W3CDTF">2015-04-29T18:22:41Z</dcterms:created>
  <dcterms:modified xsi:type="dcterms:W3CDTF">2023-05-15T13:54:21Z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2f19bc-c0ef-436a-be43-be1adb274cf3_Enabled">
    <vt:lpwstr>true</vt:lpwstr>
  </property>
  <property fmtid="{D5CDD505-2E9C-101B-9397-08002B2CF9AE}" pid="3" name="MSIP_Label_022f19bc-c0ef-436a-be43-be1adb274cf3_SetDate">
    <vt:lpwstr>2023-05-10T18:16:09Z</vt:lpwstr>
  </property>
  <property fmtid="{D5CDD505-2E9C-101B-9397-08002B2CF9AE}" pid="4" name="MSIP_Label_022f19bc-c0ef-436a-be43-be1adb274cf3_Method">
    <vt:lpwstr>Standard</vt:lpwstr>
  </property>
  <property fmtid="{D5CDD505-2E9C-101B-9397-08002B2CF9AE}" pid="5" name="MSIP_Label_022f19bc-c0ef-436a-be43-be1adb274cf3_Name">
    <vt:lpwstr>Interno</vt:lpwstr>
  </property>
  <property fmtid="{D5CDD505-2E9C-101B-9397-08002B2CF9AE}" pid="6" name="MSIP_Label_022f19bc-c0ef-436a-be43-be1adb274cf3_SiteId">
    <vt:lpwstr>93546618-e20a-4fd3-a884-9e33ca7234a7</vt:lpwstr>
  </property>
  <property fmtid="{D5CDD505-2E9C-101B-9397-08002B2CF9AE}" pid="7" name="MSIP_Label_022f19bc-c0ef-436a-be43-be1adb274cf3_ActionId">
    <vt:lpwstr>bd659f8d-3e6d-4e5f-8014-a944ee9a05f8</vt:lpwstr>
  </property>
  <property fmtid="{D5CDD505-2E9C-101B-9397-08002B2CF9AE}" pid="8" name="MSIP_Label_022f19bc-c0ef-436a-be43-be1adb274cf3_ContentBits">
    <vt:lpwstr>1</vt:lpwstr>
  </property>
</Properties>
</file>